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T００個人\吉田啓祐\中体連\県へ報告\4月\生徒数学校規模調査\"/>
    </mc:Choice>
  </mc:AlternateContent>
  <xr:revisionPtr revIDLastSave="0" documentId="8_{94A67F18-7A11-4654-BF02-9A1DE454140A}" xr6:coauthVersionLast="47" xr6:coauthVersionMax="47" xr10:uidLastSave="{00000000-0000-0000-0000-000000000000}"/>
  <bookViews>
    <workbookView xWindow="-120" yWindow="-120" windowWidth="29040" windowHeight="17520" tabRatio="813" xr2:uid="{53214985-EB66-4CB3-9AE2-63D4179FCD85}"/>
  </bookViews>
  <sheets>
    <sheet name="郡市名" sheetId="41" r:id="rId1"/>
    <sheet name="Sheet1" sheetId="42" r:id="rId2"/>
  </sheets>
  <definedNames>
    <definedName name="_xlnm.Print_Area" localSheetId="0">郡市名!$A$1:$T$43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41" l="1"/>
  <c r="D37" i="41"/>
  <c r="D36" i="41"/>
  <c r="D35" i="41"/>
  <c r="D34" i="41"/>
  <c r="D33" i="41"/>
  <c r="D32" i="41"/>
  <c r="D31" i="41"/>
  <c r="D30" i="41"/>
  <c r="D29" i="41"/>
  <c r="D28" i="41"/>
  <c r="D27" i="41"/>
  <c r="D26" i="41"/>
  <c r="D25" i="41"/>
  <c r="D24" i="41"/>
  <c r="D23" i="41"/>
  <c r="D22" i="41"/>
  <c r="D21" i="41"/>
  <c r="D20" i="41"/>
  <c r="D19" i="41"/>
  <c r="D18" i="41"/>
  <c r="D17" i="41"/>
  <c r="D16" i="41"/>
  <c r="D15" i="41"/>
  <c r="D14" i="41"/>
  <c r="D13" i="41"/>
  <c r="C38" i="41"/>
  <c r="C37" i="41"/>
  <c r="C36" i="41"/>
  <c r="C35" i="41"/>
  <c r="C34" i="41"/>
  <c r="C33" i="41"/>
  <c r="C32" i="41"/>
  <c r="C31" i="41"/>
  <c r="C30" i="41"/>
  <c r="C29" i="41"/>
  <c r="C28" i="41"/>
  <c r="C27" i="41"/>
  <c r="C26" i="41"/>
  <c r="C25" i="41"/>
  <c r="C24" i="41"/>
  <c r="C23" i="41"/>
  <c r="C22" i="41"/>
  <c r="C21" i="41"/>
  <c r="C20" i="41"/>
  <c r="C19" i="41"/>
  <c r="C18" i="41"/>
  <c r="C17" i="41"/>
  <c r="C16" i="41"/>
  <c r="C15" i="41"/>
  <c r="C14" i="41"/>
  <c r="C13" i="41"/>
  <c r="D12" i="41"/>
  <c r="C12" i="41"/>
  <c r="B38" i="41"/>
  <c r="B37" i="41"/>
  <c r="B36" i="41"/>
  <c r="B35" i="41"/>
  <c r="B34" i="41"/>
  <c r="B33" i="41"/>
  <c r="B32" i="41"/>
  <c r="B31" i="41"/>
  <c r="B30" i="41"/>
  <c r="B29" i="41"/>
  <c r="B28" i="41"/>
  <c r="B27" i="41"/>
  <c r="B26" i="41"/>
  <c r="B25" i="41"/>
  <c r="B24" i="41"/>
  <c r="B23" i="41"/>
  <c r="B22" i="41"/>
  <c r="B21" i="41"/>
  <c r="B20" i="41"/>
  <c r="B19" i="41"/>
  <c r="B18" i="41"/>
  <c r="B17" i="41"/>
  <c r="B16" i="41"/>
  <c r="B15" i="41"/>
  <c r="B14" i="41"/>
  <c r="B13" i="41"/>
  <c r="B12" i="41"/>
  <c r="T37" i="41"/>
  <c r="K37" i="41" s="1"/>
  <c r="N37" i="41"/>
  <c r="J37" i="41"/>
  <c r="I37" i="41"/>
  <c r="Q37" i="41"/>
  <c r="S6" i="41"/>
  <c r="R6" i="41"/>
  <c r="P6" i="41"/>
  <c r="O6" i="41"/>
  <c r="M6" i="41"/>
  <c r="J6" i="41" s="1"/>
  <c r="V7" i="41" s="1"/>
  <c r="L6" i="41"/>
  <c r="I6" i="41"/>
  <c r="E6" i="41"/>
  <c r="F6" i="41"/>
  <c r="H6" i="41"/>
  <c r="J35" i="41"/>
  <c r="I35" i="41"/>
  <c r="I38" i="41"/>
  <c r="J38" i="41"/>
  <c r="N38" i="41"/>
  <c r="K38" i="41" s="1"/>
  <c r="Q38" i="41"/>
  <c r="T38" i="41"/>
  <c r="G6" i="41"/>
  <c r="T36" i="41"/>
  <c r="T35" i="41"/>
  <c r="K35" i="41"/>
  <c r="T34" i="41"/>
  <c r="K34" i="41" s="1"/>
  <c r="T33" i="41"/>
  <c r="T32" i="41"/>
  <c r="T31" i="41"/>
  <c r="T30" i="41"/>
  <c r="T29" i="41"/>
  <c r="T28" i="41"/>
  <c r="T27" i="41"/>
  <c r="T26" i="41"/>
  <c r="T25" i="41"/>
  <c r="T24" i="41"/>
  <c r="T23" i="41"/>
  <c r="K23" i="41" s="1"/>
  <c r="T22" i="41"/>
  <c r="T21" i="41"/>
  <c r="T20" i="41"/>
  <c r="T19" i="41"/>
  <c r="T18" i="41"/>
  <c r="T17" i="41"/>
  <c r="T16" i="41"/>
  <c r="K16" i="41" s="1"/>
  <c r="T15" i="41"/>
  <c r="T14" i="41"/>
  <c r="T13" i="41"/>
  <c r="T12" i="41"/>
  <c r="T6" i="41" s="1"/>
  <c r="Q36" i="41"/>
  <c r="Q35" i="41"/>
  <c r="Q34" i="41"/>
  <c r="Q33" i="41"/>
  <c r="Q32" i="41"/>
  <c r="Q31" i="41"/>
  <c r="Q30" i="41"/>
  <c r="Q29" i="41"/>
  <c r="Q28" i="41"/>
  <c r="Q27" i="41"/>
  <c r="Q26" i="41"/>
  <c r="Q25" i="41"/>
  <c r="K25" i="41" s="1"/>
  <c r="Q24" i="41"/>
  <c r="Q23" i="41"/>
  <c r="Q22" i="41"/>
  <c r="Q21" i="41"/>
  <c r="Q20" i="41"/>
  <c r="Q19" i="41"/>
  <c r="Q18" i="41"/>
  <c r="Q17" i="41"/>
  <c r="K17" i="41" s="1"/>
  <c r="Q16" i="41"/>
  <c r="Q15" i="41"/>
  <c r="K15" i="41" s="1"/>
  <c r="Q6" i="41"/>
  <c r="Q14" i="41"/>
  <c r="Q13" i="41"/>
  <c r="K13" i="41" s="1"/>
  <c r="Q12" i="41"/>
  <c r="N36" i="41"/>
  <c r="K36" i="41"/>
  <c r="N35" i="41"/>
  <c r="N34" i="41"/>
  <c r="N33" i="41"/>
  <c r="K33" i="41" s="1"/>
  <c r="N32" i="41"/>
  <c r="K32" i="41" s="1"/>
  <c r="N31" i="41"/>
  <c r="K31" i="41" s="1"/>
  <c r="N30" i="41"/>
  <c r="N29" i="41"/>
  <c r="K29" i="41"/>
  <c r="N28" i="41"/>
  <c r="K28" i="41" s="1"/>
  <c r="N27" i="41"/>
  <c r="K27" i="41" s="1"/>
  <c r="N26" i="41"/>
  <c r="K26" i="41"/>
  <c r="N25" i="41"/>
  <c r="N24" i="41"/>
  <c r="K24" i="41"/>
  <c r="N23" i="41"/>
  <c r="N22" i="41"/>
  <c r="K22" i="41" s="1"/>
  <c r="N21" i="41"/>
  <c r="K21" i="41" s="1"/>
  <c r="N20" i="41"/>
  <c r="K20" i="41"/>
  <c r="N19" i="41"/>
  <c r="K19" i="41" s="1"/>
  <c r="N18" i="41"/>
  <c r="N17" i="41"/>
  <c r="N16" i="41"/>
  <c r="N15" i="41"/>
  <c r="N14" i="41"/>
  <c r="K14" i="41"/>
  <c r="N13" i="41"/>
  <c r="N12" i="41"/>
  <c r="K12" i="41" s="1"/>
  <c r="J36" i="41"/>
  <c r="I36" i="41"/>
  <c r="J34" i="41"/>
  <c r="I34" i="41"/>
  <c r="J33" i="41"/>
  <c r="I33" i="41"/>
  <c r="J32" i="41"/>
  <c r="I32" i="41"/>
  <c r="J31" i="41"/>
  <c r="I31" i="41"/>
  <c r="J30" i="41"/>
  <c r="I30" i="41"/>
  <c r="J29" i="41"/>
  <c r="I29" i="41"/>
  <c r="J28" i="41"/>
  <c r="I28" i="41"/>
  <c r="J27" i="41"/>
  <c r="I27" i="41"/>
  <c r="J26" i="41"/>
  <c r="I26" i="41"/>
  <c r="J25" i="41"/>
  <c r="I25" i="41"/>
  <c r="J24" i="41"/>
  <c r="I24" i="41"/>
  <c r="J23" i="41"/>
  <c r="I23" i="41"/>
  <c r="J22" i="41"/>
  <c r="I22" i="41"/>
  <c r="J21" i="41"/>
  <c r="I21" i="41"/>
  <c r="J20" i="41"/>
  <c r="I20" i="41"/>
  <c r="J19" i="41"/>
  <c r="I19" i="41"/>
  <c r="J18" i="41"/>
  <c r="I18" i="41"/>
  <c r="J17" i="41"/>
  <c r="I17" i="41"/>
  <c r="J16" i="41"/>
  <c r="I16" i="41"/>
  <c r="J15" i="41"/>
  <c r="I15" i="41"/>
  <c r="J14" i="41"/>
  <c r="I14" i="41"/>
  <c r="J13" i="41"/>
  <c r="I13" i="41"/>
  <c r="J12" i="41"/>
  <c r="I12" i="41"/>
  <c r="K18" i="41"/>
  <c r="K30" i="41"/>
  <c r="N6" i="41" l="1"/>
  <c r="K6" i="41" s="1"/>
</calcChain>
</file>

<file path=xl/sharedStrings.xml><?xml version="1.0" encoding="utf-8"?>
<sst xmlns="http://schemas.openxmlformats.org/spreadsheetml/2006/main" count="229" uniqueCount="206">
  <si>
    <t>　合　　計</t>
  </si>
  <si>
    <t>　１　年</t>
  </si>
  <si>
    <t>　２　年</t>
  </si>
  <si>
    <t>　３　年</t>
  </si>
  <si>
    <t>男子</t>
  </si>
  <si>
    <t>女子</t>
  </si>
  <si>
    <t>合計</t>
  </si>
  <si>
    <t>男</t>
  </si>
  <si>
    <t>女</t>
  </si>
  <si>
    <t>計</t>
  </si>
  <si>
    <t>（学級数による）</t>
    <rPh sb="1" eb="4">
      <t>ガッキュウスウ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</si>
  <si>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</si>
  <si>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</si>
  <si>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</si>
  <si>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</si>
  <si>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各　　　校</t>
    <rPh sb="0" eb="1">
      <t>カク</t>
    </rPh>
    <rPh sb="4" eb="5">
      <t>コウ</t>
    </rPh>
    <phoneticPr fontId="2"/>
  </si>
  <si>
    <t>（A規模；１～５学級　　Ｂ規模；６～１０学級　　Ｃ規模；１１～１５学級　　Ｄ規模；１６学級以上　）</t>
    <phoneticPr fontId="2"/>
  </si>
  <si>
    <t>学   校   規   模 　数</t>
    <rPh sb="0" eb="1">
      <t>ガク</t>
    </rPh>
    <rPh sb="4" eb="5">
      <t>コウ</t>
    </rPh>
    <rPh sb="8" eb="9">
      <t>キ</t>
    </rPh>
    <rPh sb="12" eb="13">
      <t>ボ</t>
    </rPh>
    <rPh sb="15" eb="16">
      <t>スウ</t>
    </rPh>
    <phoneticPr fontId="2"/>
  </si>
  <si>
    <t>学   校   規   模   数</t>
    <rPh sb="0" eb="1">
      <t>ガク</t>
    </rPh>
    <rPh sb="4" eb="5">
      <t>コウ</t>
    </rPh>
    <rPh sb="8" eb="9">
      <t>キ</t>
    </rPh>
    <rPh sb="12" eb="13">
      <t>ボ</t>
    </rPh>
    <rPh sb="16" eb="17">
      <t>スウ</t>
    </rPh>
    <phoneticPr fontId="2"/>
  </si>
  <si>
    <t>○を記入（学級数による）</t>
    <rPh sb="2" eb="4">
      <t>キニュウ</t>
    </rPh>
    <rPh sb="5" eb="8">
      <t>ガッキュウスウ</t>
    </rPh>
    <phoneticPr fontId="2"/>
  </si>
  <si>
    <t>高崎市立第一中学校</t>
  </si>
  <si>
    <t>高崎市立高松中学校</t>
  </si>
  <si>
    <t>高崎市立並榎中学校</t>
  </si>
  <si>
    <t>高崎市立豊岡中学校</t>
  </si>
  <si>
    <t>高崎市立中尾中学校</t>
  </si>
  <si>
    <t>高崎市立長野郷中学校</t>
  </si>
  <si>
    <t>高崎市立大類中学校</t>
  </si>
  <si>
    <t>高崎市立塚沢中学校</t>
  </si>
  <si>
    <t>高崎市立片岡中学校</t>
  </si>
  <si>
    <t>高崎市立佐野中学校</t>
  </si>
  <si>
    <t>高崎市立南八幡中学校</t>
  </si>
  <si>
    <t>高崎市立倉賀野中学校</t>
  </si>
  <si>
    <t>高崎市立高南中学校</t>
  </si>
  <si>
    <t>高崎市立寺尾中学校</t>
  </si>
  <si>
    <t>高崎市立八幡中学校</t>
  </si>
  <si>
    <t>高崎市立矢中中学校</t>
  </si>
  <si>
    <t>群馬県立中央中等教育学校</t>
  </si>
  <si>
    <t>のセルには入力しない</t>
    <rPh sb="5" eb="7">
      <t>ニュウリョク</t>
    </rPh>
    <phoneticPr fontId="2"/>
  </si>
  <si>
    <t>Ａ＝　１～　５学級</t>
    <rPh sb="7" eb="9">
      <t>ガッキュウ</t>
    </rPh>
    <phoneticPr fontId="2"/>
  </si>
  <si>
    <t>Ｂ＝　６～１０学級</t>
    <rPh sb="7" eb="9">
      <t>ガッキュウ</t>
    </rPh>
    <phoneticPr fontId="2"/>
  </si>
  <si>
    <t>Ｃ＝１１～１５学級</t>
    <rPh sb="7" eb="9">
      <t>ガッキュウ</t>
    </rPh>
    <phoneticPr fontId="2"/>
  </si>
  <si>
    <t>Ｄ＝１６学級以上</t>
    <rPh sb="4" eb="6">
      <t>ガッキュウ</t>
    </rPh>
    <rPh sb="6" eb="8">
      <t>イジョウ</t>
    </rPh>
    <phoneticPr fontId="2"/>
  </si>
  <si>
    <t>高崎市立倉渕中学校</t>
  </si>
  <si>
    <t>高崎市立群馬中央中学校</t>
  </si>
  <si>
    <t>高崎市立群馬南中学校</t>
  </si>
  <si>
    <t>高崎市立新町中学校</t>
  </si>
  <si>
    <t>高崎市立箕郷中学校</t>
  </si>
  <si>
    <t>高崎市立榛名中学校</t>
  </si>
  <si>
    <t>高崎市立入野中学校</t>
    <rPh sb="0" eb="2">
      <t>タカサキ</t>
    </rPh>
    <rPh sb="2" eb="4">
      <t>シリツ</t>
    </rPh>
    <phoneticPr fontId="2"/>
  </si>
  <si>
    <t>高崎市立吉井中央中学校</t>
    <rPh sb="0" eb="2">
      <t>タカサキ</t>
    </rPh>
    <rPh sb="2" eb="4">
      <t>シリツ</t>
    </rPh>
    <phoneticPr fontId="2"/>
  </si>
  <si>
    <t>高崎市立吉井西中学校</t>
    <rPh sb="0" eb="2">
      <t>タカサキ</t>
    </rPh>
    <rPh sb="2" eb="4">
      <t>シリツ</t>
    </rPh>
    <rPh sb="4" eb="6">
      <t>ヨシイ</t>
    </rPh>
    <phoneticPr fontId="2"/>
  </si>
  <si>
    <t>A</t>
  </si>
  <si>
    <t>B</t>
  </si>
  <si>
    <t>C</t>
  </si>
  <si>
    <t>D</t>
  </si>
  <si>
    <t>東京農業大学附属高等学校中等部</t>
    <rPh sb="0" eb="6">
      <t>トウキョウノウギョウダイガク</t>
    </rPh>
    <rPh sb="6" eb="8">
      <t>フゾク</t>
    </rPh>
    <rPh sb="8" eb="12">
      <t>コウトウガッコウ</t>
    </rPh>
    <rPh sb="12" eb="15">
      <t>チュウトウブ</t>
    </rPh>
    <phoneticPr fontId="2"/>
  </si>
  <si>
    <t>○</t>
    <phoneticPr fontId="2"/>
  </si>
  <si>
    <t>前橋市立第一中学校</t>
  </si>
  <si>
    <t>前橋市立みずき中学校</t>
  </si>
  <si>
    <t>前橋市立第三中学校</t>
  </si>
  <si>
    <t>前橋市立第五中学校</t>
  </si>
  <si>
    <t>前橋市立第六中学校</t>
  </si>
  <si>
    <t>前橋市立第七中学校</t>
  </si>
  <si>
    <t>前橋市立桂萱中学校</t>
  </si>
  <si>
    <t>前橋市立芳賀中学校</t>
  </si>
  <si>
    <t>前橋市立元総社中学校</t>
  </si>
  <si>
    <t>前橋市立東中学校</t>
  </si>
  <si>
    <t>前橋市立南橘中学校</t>
  </si>
  <si>
    <t>前橋市立木瀬中学校</t>
  </si>
  <si>
    <t>前橋市立荒砥中学校</t>
  </si>
  <si>
    <t>前橋市立明桜中学校</t>
    <rPh sb="4" eb="6">
      <t>メイオウ</t>
    </rPh>
    <phoneticPr fontId="2"/>
  </si>
  <si>
    <t>前橋市立鎌倉中学校</t>
  </si>
  <si>
    <t>前橋市立箱田中学校</t>
  </si>
  <si>
    <t>前橋市立大胡中学校</t>
  </si>
  <si>
    <t>前橋市立宮城中学校</t>
  </si>
  <si>
    <t>前橋市立粕川中学校</t>
  </si>
  <si>
    <t>前橋市立富士見中学校</t>
    <rPh sb="0" eb="2">
      <t>マエバシ</t>
    </rPh>
    <rPh sb="2" eb="4">
      <t>シリツ</t>
    </rPh>
    <phoneticPr fontId="2"/>
  </si>
  <si>
    <t>群馬大学教育学部附属中学校</t>
  </si>
  <si>
    <t>共愛学園中学校</t>
  </si>
  <si>
    <t>桐生市立中央中学校</t>
    <rPh sb="4" eb="6">
      <t>チュウオウ</t>
    </rPh>
    <phoneticPr fontId="2"/>
  </si>
  <si>
    <t>桐生市立清流中学校</t>
    <rPh sb="4" eb="6">
      <t>セイリュウ</t>
    </rPh>
    <phoneticPr fontId="2"/>
  </si>
  <si>
    <t>桐生市立境野中学校</t>
  </si>
  <si>
    <t>桐生市立広沢中学校</t>
  </si>
  <si>
    <t>桐生市立梅田中学校</t>
  </si>
  <si>
    <t>桐生市立相生中学校</t>
  </si>
  <si>
    <t>桐生市立川内中学校</t>
  </si>
  <si>
    <t>桐生市立桜木中学校</t>
  </si>
  <si>
    <t>桐生市立新里中学校</t>
  </si>
  <si>
    <t>桐生市立黒保根学園</t>
    <rPh sb="7" eb="9">
      <t>ガクエン</t>
    </rPh>
    <phoneticPr fontId="2"/>
  </si>
  <si>
    <t>明照学園樹徳中学校</t>
  </si>
  <si>
    <t>桐生大学附属中学校</t>
    <rPh sb="0" eb="2">
      <t>キリュウ</t>
    </rPh>
    <rPh sb="2" eb="4">
      <t>ダイガク</t>
    </rPh>
    <rPh sb="4" eb="6">
      <t>フゾク</t>
    </rPh>
    <rPh sb="6" eb="9">
      <t>チュウガッコウ</t>
    </rPh>
    <phoneticPr fontId="2"/>
  </si>
  <si>
    <t>みどり市立笠懸中学校</t>
  </si>
  <si>
    <t>みどり市立笠懸南中学校</t>
  </si>
  <si>
    <t>みどり市立大間々中学校</t>
  </si>
  <si>
    <t>みどり市立大間々東中学校</t>
  </si>
  <si>
    <t>みどり市立あずま小中学校</t>
    <rPh sb="8" eb="10">
      <t>ショウチュウ</t>
    </rPh>
    <phoneticPr fontId="2"/>
  </si>
  <si>
    <t>伊勢崎市立第一中学校</t>
  </si>
  <si>
    <t>伊勢崎市立第二中学校</t>
  </si>
  <si>
    <t>伊勢崎市立第三中学校</t>
  </si>
  <si>
    <t>伊勢崎市立殖蓮中学校</t>
  </si>
  <si>
    <t>伊勢崎市立宮郷中学校</t>
  </si>
  <si>
    <t>伊勢崎市立第四中学校</t>
  </si>
  <si>
    <t>伊勢崎市立赤堀中学校</t>
  </si>
  <si>
    <t>伊勢崎市立あずま中学校</t>
  </si>
  <si>
    <t>伊勢崎市立境北中学校</t>
  </si>
  <si>
    <t>伊勢崎市立境西中学校</t>
  </si>
  <si>
    <t>伊勢崎市立境南中学校</t>
  </si>
  <si>
    <t>伊勢崎市立四ツ葉学園中等教育学校</t>
  </si>
  <si>
    <t>玉村町立玉村中学校</t>
  </si>
  <si>
    <t>玉村町立南中学校</t>
  </si>
  <si>
    <t>太田市立西中学校</t>
  </si>
  <si>
    <t>太田市立東中学校</t>
  </si>
  <si>
    <t>太田市立南中学校</t>
  </si>
  <si>
    <t>太田市立休泊中学校</t>
  </si>
  <si>
    <t>太田市立強戸中学校</t>
  </si>
  <si>
    <t>太田市立宝泉中学校</t>
  </si>
  <si>
    <t>太田市立毛里田中学校</t>
  </si>
  <si>
    <t>太田市立城西中学校</t>
  </si>
  <si>
    <t>太田市立城東中学校</t>
  </si>
  <si>
    <t>太田市立旭中学校</t>
  </si>
  <si>
    <t>太田市立尾島中学校</t>
  </si>
  <si>
    <t>太田市立木崎中学校</t>
  </si>
  <si>
    <t>太田市立生品中学校</t>
  </si>
  <si>
    <t>太田市立綿打中学校</t>
  </si>
  <si>
    <t>太田市立薮塚本町中学校</t>
  </si>
  <si>
    <t>太田市立太田中学校</t>
  </si>
  <si>
    <t>太田市立北の杜学園</t>
    <rPh sb="4" eb="5">
      <t>キタ</t>
    </rPh>
    <rPh sb="6" eb="7">
      <t>モリ</t>
    </rPh>
    <rPh sb="7" eb="9">
      <t>ガクエン</t>
    </rPh>
    <phoneticPr fontId="2"/>
  </si>
  <si>
    <t>ぐんま国際アカデミー</t>
  </si>
  <si>
    <t>沼田市立沼田中学校</t>
  </si>
  <si>
    <t>沼田市立沼田西中学校</t>
  </si>
  <si>
    <t>沼田市立池田中学校</t>
  </si>
  <si>
    <t>沼田市立薄根中学校</t>
  </si>
  <si>
    <t>沼田市立沼田東中学校</t>
  </si>
  <si>
    <t>沼田市立沼田南中学校</t>
  </si>
  <si>
    <t>沼田市立白沢中学校</t>
  </si>
  <si>
    <t>沼田市立利根中学校</t>
  </si>
  <si>
    <t>館林市立第一中学校</t>
  </si>
  <si>
    <t>館林市立第二中学校</t>
  </si>
  <si>
    <t>館林市立第三中学校</t>
  </si>
  <si>
    <t>館林市立第四中学校</t>
  </si>
  <si>
    <t>館林市立多々良中学校</t>
  </si>
  <si>
    <t>渋川市立渋川中学校</t>
  </si>
  <si>
    <t>渋川市立金島中学校</t>
  </si>
  <si>
    <t>渋川市立古巻中学校</t>
  </si>
  <si>
    <t>渋川市立渋川北中学校</t>
  </si>
  <si>
    <t>渋川市立北橘中学校</t>
  </si>
  <si>
    <t>渋川市立赤城南中学校</t>
  </si>
  <si>
    <t>渋川市赤城北中学校</t>
  </si>
  <si>
    <t>渋川市立子持中学校</t>
  </si>
  <si>
    <t>渋川市立伊香保中学校</t>
  </si>
  <si>
    <t>榛東村立榛東中学校</t>
  </si>
  <si>
    <t>吉岡町立吉岡中学校</t>
  </si>
  <si>
    <t>藤岡市立北中学校</t>
  </si>
  <si>
    <t>藤岡市立東中学校</t>
  </si>
  <si>
    <t>藤岡市立西中学校</t>
  </si>
  <si>
    <t>藤岡市立小野中学校</t>
  </si>
  <si>
    <t>藤岡市立鬼石中学校</t>
  </si>
  <si>
    <t>神流町立中里中学校</t>
  </si>
  <si>
    <t>上野村立上野中学校</t>
  </si>
  <si>
    <t>富岡市立富岡中学校</t>
  </si>
  <si>
    <t>富岡市立西中学校</t>
  </si>
  <si>
    <t>富岡市立北中学校</t>
  </si>
  <si>
    <t>富岡市立南中学校</t>
  </si>
  <si>
    <t>富岡市立妙義中学校</t>
  </si>
  <si>
    <t>下仁田町立下仁田中学校</t>
    <rPh sb="0" eb="11">
      <t>シモニタチョウリツシモニタチュウガッコウ</t>
    </rPh>
    <phoneticPr fontId="2"/>
  </si>
  <si>
    <t>なんもく学園</t>
    <rPh sb="4" eb="6">
      <t>ガクエン</t>
    </rPh>
    <phoneticPr fontId="2"/>
  </si>
  <si>
    <t>甘楽町立甘楽中学校</t>
    <rPh sb="4" eb="6">
      <t>カンラ</t>
    </rPh>
    <phoneticPr fontId="2"/>
  </si>
  <si>
    <t>10富岡甘楽</t>
    <rPh sb="2" eb="4">
      <t>トミオカ</t>
    </rPh>
    <rPh sb="4" eb="6">
      <t>カンラ</t>
    </rPh>
    <phoneticPr fontId="2"/>
  </si>
  <si>
    <t>安中市立第一中学校</t>
  </si>
  <si>
    <t>安中市立第二中学校</t>
  </si>
  <si>
    <t>安中市立松井田中学校</t>
  </si>
  <si>
    <t>新島学園中学校</t>
  </si>
  <si>
    <t>中之条町立中之条中学校</t>
  </si>
  <si>
    <t>草津町立草津中学校</t>
  </si>
  <si>
    <t>高山村立高山中学校</t>
  </si>
  <si>
    <t>長野原町立長野原中学校</t>
    <rPh sb="5" eb="8">
      <t>ナガノハラ</t>
    </rPh>
    <phoneticPr fontId="2"/>
  </si>
  <si>
    <t>嬬恋村立嬬恋中学校</t>
    <rPh sb="4" eb="6">
      <t>ツマゴイ</t>
    </rPh>
    <phoneticPr fontId="2"/>
  </si>
  <si>
    <t>東吾妻町立東吾妻中学校</t>
    <rPh sb="6" eb="8">
      <t>アガツマ</t>
    </rPh>
    <phoneticPr fontId="2"/>
  </si>
  <si>
    <t>片品村立片品中学校</t>
  </si>
  <si>
    <t>川場村立川場中学校</t>
  </si>
  <si>
    <t>昭和村立昭和中学校</t>
  </si>
  <si>
    <t>みなかみ町立みなかみ中学校</t>
    <rPh sb="4" eb="6">
      <t>チョウリツ</t>
    </rPh>
    <rPh sb="10" eb="13">
      <t>チュウガッコウ</t>
    </rPh>
    <phoneticPr fontId="2"/>
  </si>
  <si>
    <t>板倉町立板倉中学校</t>
  </si>
  <si>
    <t>明和町立明和中学校</t>
  </si>
  <si>
    <t>千代田町立千代田中学校</t>
  </si>
  <si>
    <t>大泉町立南中学校</t>
  </si>
  <si>
    <t>大泉町立北中学校</t>
  </si>
  <si>
    <t>大泉町立西中学校</t>
  </si>
  <si>
    <t>邑楽町立邑楽中学校</t>
  </si>
  <si>
    <t>邑楽町立邑楽南中学校</t>
  </si>
  <si>
    <t>11安中</t>
    <rPh sb="2" eb="4">
      <t>アンナカ</t>
    </rPh>
    <phoneticPr fontId="2"/>
  </si>
  <si>
    <t>12吾妻</t>
    <rPh sb="2" eb="4">
      <t>アヅマ</t>
    </rPh>
    <phoneticPr fontId="2"/>
  </si>
  <si>
    <t>13利根</t>
    <rPh sb="2" eb="4">
      <t>トネ</t>
    </rPh>
    <phoneticPr fontId="2"/>
  </si>
  <si>
    <t>14邑楽</t>
    <rPh sb="2" eb="4">
      <t>オウラ</t>
    </rPh>
    <phoneticPr fontId="2"/>
  </si>
  <si>
    <t>01前橋</t>
    <rPh sb="2" eb="4">
      <t>マエバシ</t>
    </rPh>
    <phoneticPr fontId="2"/>
  </si>
  <si>
    <t>02高崎</t>
    <rPh sb="2" eb="4">
      <t>タカサキ</t>
    </rPh>
    <phoneticPr fontId="2"/>
  </si>
  <si>
    <t>03桐生</t>
    <rPh sb="2" eb="4">
      <t>キリュウ</t>
    </rPh>
    <phoneticPr fontId="2"/>
  </si>
  <si>
    <t>04伊勢崎佐波</t>
    <rPh sb="2" eb="5">
      <t>イセサキ</t>
    </rPh>
    <rPh sb="5" eb="7">
      <t>サワ</t>
    </rPh>
    <phoneticPr fontId="2"/>
  </si>
  <si>
    <t>05太田</t>
    <rPh sb="2" eb="4">
      <t>オオタ</t>
    </rPh>
    <phoneticPr fontId="2"/>
  </si>
  <si>
    <t>06沼田</t>
    <rPh sb="2" eb="4">
      <t>ヌマタ</t>
    </rPh>
    <phoneticPr fontId="2"/>
  </si>
  <si>
    <t>07館林</t>
    <rPh sb="2" eb="4">
      <t>タテバヤシ</t>
    </rPh>
    <phoneticPr fontId="2"/>
  </si>
  <si>
    <t>08渋川北群馬</t>
    <rPh sb="2" eb="4">
      <t>シブカワ</t>
    </rPh>
    <rPh sb="4" eb="7">
      <t>キタグンマ</t>
    </rPh>
    <phoneticPr fontId="2"/>
  </si>
  <si>
    <t>09藤岡多野</t>
    <rPh sb="2" eb="4">
      <t>フジオカ</t>
    </rPh>
    <rPh sb="4" eb="6">
      <t>タノ</t>
    </rPh>
    <phoneticPr fontId="2"/>
  </si>
  <si>
    <t>水色のセルはドロップダウンリストから選んでください。</t>
    <rPh sb="0" eb="2">
      <t>ミズイロ</t>
    </rPh>
    <rPh sb="18" eb="19">
      <t>エラ</t>
    </rPh>
    <phoneticPr fontId="2"/>
  </si>
  <si>
    <t>黄色のセルには入力をしないでください。</t>
    <rPh sb="0" eb="2">
      <t>キイロ</t>
    </rPh>
    <rPh sb="7" eb="9">
      <t>ニュウリョク</t>
    </rPh>
    <phoneticPr fontId="2"/>
  </si>
  <si>
    <t>令和８年度　群馬県中学校在籍数調査集計表　（令和８年４月７日現在）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</si>
</sst>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;\-0;#"/>
    <numFmt numFmtId="177" formatCode="#,##0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明朝"/>
      <family val="1"/>
      <charset val="128"/>
    </font>
    <font>
      <b/>
      <sz val="20"/>
      <name val="ＭＳ Ｐゴシック"/>
      <family val="3"/>
      <charset val="128"/>
    </font>
    <font>
      <b/>
      <sz val="36"/>
      <name val="ＭＳ Ｐゴシック"/>
      <family val="3"/>
      <charset val="128"/>
    </font>
    <font>
      <sz val="26"/>
      <name val="ＭＳ Ｐ明朝"/>
      <family val="1"/>
      <charset val="128"/>
    </font>
    <font>
      <b/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2FCFA"/>
        <bgColor indexed="64"/>
      </patternFill>
    </fill>
    <fill>
      <patternFill patternType="solid">
        <fgColor rgb="FFCCFFFF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8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176" fontId="0" fillId="0" borderId="0" xfId="0" applyNumberForma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177" fontId="0" fillId="0" borderId="0" xfId="0" applyNumberFormat="1">
      <alignment vertical="center"/>
    </xf>
    <xf numFmtId="176" fontId="1" fillId="0" borderId="12" xfId="0" applyNumberFormat="1" applyFont="1" applyBorder="1" applyAlignment="1" applyProtection="1">
      <alignment horizontal="center" vertical="center"/>
      <protection locked="0"/>
    </xf>
    <xf numFmtId="176" fontId="1" fillId="0" borderId="13" xfId="0" applyNumberFormat="1" applyFont="1" applyBorder="1" applyAlignment="1" applyProtection="1">
      <alignment horizontal="center" vertical="center"/>
      <protection locked="0"/>
    </xf>
    <xf numFmtId="176" fontId="1" fillId="0" borderId="14" xfId="0" applyNumberFormat="1" applyFont="1" applyBorder="1" applyAlignment="1" applyProtection="1">
      <alignment horizontal="center" vertical="center"/>
      <protection locked="0"/>
    </xf>
    <xf numFmtId="176" fontId="1" fillId="0" borderId="15" xfId="0" applyNumberFormat="1" applyFont="1" applyBorder="1" applyAlignment="1" applyProtection="1">
      <alignment horizontal="center" vertical="center"/>
      <protection locked="0"/>
    </xf>
    <xf numFmtId="176" fontId="1" fillId="0" borderId="16" xfId="0" applyNumberFormat="1" applyFont="1" applyBorder="1" applyAlignment="1" applyProtection="1">
      <alignment horizontal="center" vertical="center"/>
      <protection locked="0"/>
    </xf>
    <xf numFmtId="176" fontId="9" fillId="0" borderId="12" xfId="0" applyNumberFormat="1" applyFont="1" applyBorder="1" applyAlignment="1" applyProtection="1">
      <alignment horizontal="center" vertical="center"/>
      <protection locked="0"/>
    </xf>
    <xf numFmtId="176" fontId="9" fillId="0" borderId="13" xfId="0" applyNumberFormat="1" applyFont="1" applyBorder="1" applyAlignment="1" applyProtection="1">
      <alignment horizontal="center" vertical="center"/>
      <protection locked="0"/>
    </xf>
    <xf numFmtId="176" fontId="9" fillId="0" borderId="14" xfId="0" applyNumberFormat="1" applyFont="1" applyBorder="1" applyAlignment="1" applyProtection="1">
      <alignment horizontal="center" vertical="center"/>
      <protection locked="0"/>
    </xf>
    <xf numFmtId="176" fontId="9" fillId="0" borderId="15" xfId="0" applyNumberFormat="1" applyFont="1" applyBorder="1" applyAlignment="1" applyProtection="1">
      <alignment horizontal="center" vertical="center"/>
      <protection locked="0"/>
    </xf>
    <xf numFmtId="176" fontId="9" fillId="0" borderId="16" xfId="0" applyNumberFormat="1" applyFont="1" applyBorder="1" applyAlignment="1" applyProtection="1">
      <alignment horizontal="center" vertical="center"/>
      <protection locked="0"/>
    </xf>
    <xf numFmtId="176" fontId="0" fillId="0" borderId="12" xfId="0" applyNumberFormat="1" applyBorder="1" applyAlignment="1" applyProtection="1">
      <alignment horizontal="center" vertical="center"/>
      <protection locked="0"/>
    </xf>
    <xf numFmtId="176" fontId="1" fillId="2" borderId="17" xfId="0" applyNumberFormat="1" applyFont="1" applyFill="1" applyBorder="1" applyAlignment="1">
      <alignment horizontal="center" vertical="center"/>
    </xf>
    <xf numFmtId="176" fontId="1" fillId="2" borderId="15" xfId="0" applyNumberFormat="1" applyFont="1" applyFill="1" applyBorder="1" applyAlignment="1">
      <alignment horizontal="center" vertical="center"/>
    </xf>
    <xf numFmtId="176" fontId="1" fillId="2" borderId="14" xfId="0" applyNumberFormat="1" applyFont="1" applyFill="1" applyBorder="1" applyAlignment="1">
      <alignment horizontal="center" vertical="center"/>
    </xf>
    <xf numFmtId="176" fontId="1" fillId="2" borderId="18" xfId="0" applyNumberFormat="1" applyFont="1" applyFill="1" applyBorder="1" applyAlignment="1">
      <alignment horizontal="center" vertical="center"/>
    </xf>
    <xf numFmtId="176" fontId="1" fillId="2" borderId="19" xfId="0" applyNumberFormat="1" applyFont="1" applyFill="1" applyBorder="1" applyAlignment="1">
      <alignment horizontal="center" vertical="center"/>
    </xf>
    <xf numFmtId="176" fontId="9" fillId="2" borderId="17" xfId="0" applyNumberFormat="1" applyFont="1" applyFill="1" applyBorder="1" applyAlignment="1">
      <alignment horizontal="center" vertical="center"/>
    </xf>
    <xf numFmtId="176" fontId="9" fillId="2" borderId="15" xfId="0" applyNumberFormat="1" applyFont="1" applyFill="1" applyBorder="1" applyAlignment="1">
      <alignment horizontal="center" vertical="center"/>
    </xf>
    <xf numFmtId="176" fontId="9" fillId="2" borderId="14" xfId="0" applyNumberFormat="1" applyFont="1" applyFill="1" applyBorder="1" applyAlignment="1">
      <alignment horizontal="center" vertical="center"/>
    </xf>
    <xf numFmtId="176" fontId="9" fillId="2" borderId="18" xfId="0" applyNumberFormat="1" applyFont="1" applyFill="1" applyBorder="1" applyAlignment="1">
      <alignment horizontal="center" vertical="center"/>
    </xf>
    <xf numFmtId="176" fontId="9" fillId="2" borderId="19" xfId="0" applyNumberFormat="1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176" fontId="1" fillId="2" borderId="26" xfId="0" applyNumberFormat="1" applyFont="1" applyFill="1" applyBorder="1" applyAlignment="1">
      <alignment horizontal="center" vertical="center"/>
    </xf>
    <xf numFmtId="176" fontId="1" fillId="2" borderId="27" xfId="0" applyNumberFormat="1" applyFont="1" applyFill="1" applyBorder="1" applyAlignment="1">
      <alignment horizontal="center" vertical="center"/>
    </xf>
    <xf numFmtId="176" fontId="1" fillId="2" borderId="28" xfId="0" applyNumberFormat="1" applyFont="1" applyFill="1" applyBorder="1" applyAlignment="1">
      <alignment horizontal="center" vertical="center"/>
    </xf>
    <xf numFmtId="176" fontId="1" fillId="2" borderId="29" xfId="0" applyNumberFormat="1" applyFont="1" applyFill="1" applyBorder="1" applyAlignment="1">
      <alignment horizontal="center" vertical="center"/>
    </xf>
    <xf numFmtId="176" fontId="1" fillId="2" borderId="30" xfId="0" applyNumberFormat="1" applyFont="1" applyFill="1" applyBorder="1" applyAlignment="1">
      <alignment horizontal="center" vertical="center"/>
    </xf>
    <xf numFmtId="176" fontId="1" fillId="2" borderId="31" xfId="0" applyNumberFormat="1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7" fontId="3" fillId="2" borderId="9" xfId="0" applyNumberFormat="1" applyFont="1" applyFill="1" applyBorder="1" applyAlignment="1">
      <alignment horizontal="center" vertical="center"/>
    </xf>
    <xf numFmtId="177" fontId="3" fillId="2" borderId="4" xfId="0" applyNumberFormat="1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35" xfId="0" applyNumberFormat="1" applyFont="1" applyFill="1" applyBorder="1" applyAlignment="1">
      <alignment horizontal="center" vertical="center"/>
    </xf>
    <xf numFmtId="177" fontId="3" fillId="2" borderId="10" xfId="0" applyNumberFormat="1" applyFont="1" applyFill="1" applyBorder="1" applyAlignment="1">
      <alignment horizontal="center" vertical="center"/>
    </xf>
    <xf numFmtId="177" fontId="3" fillId="2" borderId="11" xfId="0" applyNumberFormat="1" applyFont="1" applyFill="1" applyBorder="1" applyAlignment="1">
      <alignment horizontal="center" vertical="center"/>
    </xf>
    <xf numFmtId="0" fontId="0" fillId="2" borderId="0" xfId="0" applyFill="1" applyProtection="1">
      <alignment vertical="center"/>
      <protection locked="0"/>
    </xf>
    <xf numFmtId="176" fontId="1" fillId="0" borderId="36" xfId="0" applyNumberFormat="1" applyFont="1" applyBorder="1" applyAlignment="1" applyProtection="1">
      <alignment horizontal="center" vertical="center"/>
      <protection locked="0"/>
    </xf>
    <xf numFmtId="176" fontId="1" fillId="0" borderId="37" xfId="0" applyNumberFormat="1" applyFont="1" applyBorder="1" applyAlignment="1" applyProtection="1">
      <alignment horizontal="center" vertical="center"/>
      <protection locked="0"/>
    </xf>
    <xf numFmtId="176" fontId="1" fillId="0" borderId="28" xfId="0" applyNumberFormat="1" applyFont="1" applyBorder="1" applyAlignment="1" applyProtection="1">
      <alignment horizontal="center" vertical="center"/>
      <protection locked="0"/>
    </xf>
    <xf numFmtId="176" fontId="1" fillId="0" borderId="26" xfId="0" applyNumberFormat="1" applyFont="1" applyBorder="1" applyAlignment="1" applyProtection="1">
      <alignment horizontal="center" vertical="center"/>
      <protection locked="0"/>
    </xf>
    <xf numFmtId="176" fontId="1" fillId="0" borderId="38" xfId="0" applyNumberFormat="1" applyFont="1" applyBorder="1" applyAlignment="1" applyProtection="1">
      <alignment horizontal="center" vertical="center"/>
      <protection locked="0"/>
    </xf>
    <xf numFmtId="0" fontId="0" fillId="2" borderId="0" xfId="0" applyFill="1">
      <alignment vertical="center"/>
    </xf>
    <xf numFmtId="0" fontId="4" fillId="3" borderId="39" xfId="0" applyFont="1" applyFill="1" applyBorder="1" applyAlignment="1" applyProtection="1">
      <alignment horizontal="center" vertical="center"/>
      <protection locked="0"/>
    </xf>
    <xf numFmtId="0" fontId="4" fillId="3" borderId="40" xfId="0" applyFont="1" applyFill="1" applyBorder="1" applyAlignment="1" applyProtection="1">
      <alignment horizontal="center" vertical="center"/>
      <protection locked="0"/>
    </xf>
    <xf numFmtId="0" fontId="4" fillId="3" borderId="41" xfId="0" applyFont="1" applyFill="1" applyBorder="1" applyAlignment="1" applyProtection="1">
      <alignment horizontal="center" vertical="center"/>
      <protection locked="0"/>
    </xf>
    <xf numFmtId="0" fontId="10" fillId="3" borderId="39" xfId="0" applyFont="1" applyFill="1" applyBorder="1" applyAlignment="1" applyProtection="1">
      <alignment horizontal="center" vertical="center"/>
      <protection locked="0"/>
    </xf>
    <xf numFmtId="0" fontId="10" fillId="3" borderId="40" xfId="0" applyFont="1" applyFill="1" applyBorder="1" applyAlignment="1" applyProtection="1">
      <alignment horizontal="center" vertical="center"/>
      <protection locked="0"/>
    </xf>
    <xf numFmtId="0" fontId="10" fillId="3" borderId="41" xfId="0" applyFont="1" applyFill="1" applyBorder="1" applyAlignment="1" applyProtection="1">
      <alignment horizontal="center" vertical="center"/>
      <protection locked="0"/>
    </xf>
    <xf numFmtId="0" fontId="0" fillId="3" borderId="39" xfId="0" applyFill="1" applyBorder="1" applyAlignment="1" applyProtection="1">
      <alignment horizontal="center" vertical="center"/>
      <protection locked="0"/>
    </xf>
    <xf numFmtId="0" fontId="0" fillId="3" borderId="40" xfId="0" applyFill="1" applyBorder="1" applyAlignment="1" applyProtection="1">
      <alignment horizontal="center" vertical="center"/>
      <protection locked="0"/>
    </xf>
    <xf numFmtId="0" fontId="0" fillId="3" borderId="41" xfId="0" applyFill="1" applyBorder="1" applyAlignment="1" applyProtection="1">
      <alignment horizontal="center" vertical="center"/>
      <protection locked="0"/>
    </xf>
    <xf numFmtId="0" fontId="4" fillId="3" borderId="42" xfId="0" applyFont="1" applyFill="1" applyBorder="1" applyAlignment="1" applyProtection="1">
      <alignment horizontal="center" vertical="center"/>
      <protection locked="0"/>
    </xf>
    <xf numFmtId="0" fontId="4" fillId="3" borderId="43" xfId="0" applyFont="1" applyFill="1" applyBorder="1" applyAlignment="1" applyProtection="1">
      <alignment horizontal="center" vertical="center"/>
      <protection locked="0"/>
    </xf>
    <xf numFmtId="0" fontId="4" fillId="3" borderId="44" xfId="0" applyFont="1" applyFill="1" applyBorder="1" applyAlignment="1" applyProtection="1">
      <alignment horizontal="center" vertical="center"/>
      <protection locked="0"/>
    </xf>
    <xf numFmtId="0" fontId="3" fillId="2" borderId="45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176" fontId="1" fillId="2" borderId="47" xfId="0" applyNumberFormat="1" applyFont="1" applyFill="1" applyBorder="1" applyAlignment="1">
      <alignment horizontal="center" vertical="center"/>
    </xf>
    <xf numFmtId="176" fontId="1" fillId="2" borderId="48" xfId="0" applyNumberFormat="1" applyFont="1" applyFill="1" applyBorder="1" applyAlignment="1">
      <alignment horizontal="center" vertical="center"/>
    </xf>
    <xf numFmtId="0" fontId="0" fillId="3" borderId="49" xfId="0" applyFill="1" applyBorder="1" applyAlignment="1" applyProtection="1">
      <alignment horizontal="center" vertical="center"/>
      <protection locked="0"/>
    </xf>
    <xf numFmtId="0" fontId="0" fillId="3" borderId="50" xfId="0" applyFill="1" applyBorder="1" applyAlignment="1" applyProtection="1">
      <alignment horizontal="center" vertical="center"/>
      <protection locked="0"/>
    </xf>
    <xf numFmtId="0" fontId="0" fillId="3" borderId="51" xfId="0" applyFill="1" applyBorder="1" applyAlignment="1" applyProtection="1">
      <alignment horizontal="center" vertical="center"/>
      <protection locked="0"/>
    </xf>
    <xf numFmtId="176" fontId="1" fillId="2" borderId="52" xfId="0" applyNumberFormat="1" applyFont="1" applyFill="1" applyBorder="1" applyAlignment="1">
      <alignment horizontal="center" vertical="center"/>
    </xf>
    <xf numFmtId="176" fontId="1" fillId="0" borderId="53" xfId="0" applyNumberFormat="1" applyFont="1" applyBorder="1" applyAlignment="1" applyProtection="1">
      <alignment horizontal="center" vertical="center"/>
      <protection locked="0"/>
    </xf>
    <xf numFmtId="176" fontId="1" fillId="0" borderId="54" xfId="0" applyNumberFormat="1" applyFont="1" applyBorder="1" applyAlignment="1" applyProtection="1">
      <alignment horizontal="center" vertical="center"/>
      <protection locked="0"/>
    </xf>
    <xf numFmtId="176" fontId="1" fillId="0" borderId="52" xfId="0" applyNumberFormat="1" applyFont="1" applyBorder="1" applyAlignment="1" applyProtection="1">
      <alignment horizontal="center" vertical="center"/>
      <protection locked="0"/>
    </xf>
    <xf numFmtId="176" fontId="1" fillId="0" borderId="48" xfId="0" applyNumberFormat="1" applyFont="1" applyBorder="1" applyAlignment="1" applyProtection="1">
      <alignment horizontal="center" vertical="center"/>
      <protection locked="0"/>
    </xf>
    <xf numFmtId="176" fontId="1" fillId="0" borderId="55" xfId="0" applyNumberFormat="1" applyFont="1" applyBorder="1" applyAlignment="1" applyProtection="1">
      <alignment horizontal="center" vertical="center"/>
      <protection locked="0"/>
    </xf>
    <xf numFmtId="176" fontId="1" fillId="2" borderId="56" xfId="0" applyNumberFormat="1" applyFont="1" applyFill="1" applyBorder="1" applyAlignment="1">
      <alignment horizontal="center" vertical="center"/>
    </xf>
    <xf numFmtId="0" fontId="0" fillId="0" borderId="57" xfId="0" applyBorder="1">
      <alignment vertical="center"/>
    </xf>
    <xf numFmtId="0" fontId="0" fillId="0" borderId="58" xfId="0" applyBorder="1">
      <alignment vertical="center"/>
    </xf>
    <xf numFmtId="0" fontId="0" fillId="0" borderId="59" xfId="0" applyBorder="1" applyAlignment="1">
      <alignment vertical="center" shrinkToFit="1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0" fillId="0" borderId="17" xfId="0" applyBorder="1" applyAlignment="1">
      <alignment vertical="center" shrinkToFit="1"/>
    </xf>
    <xf numFmtId="0" fontId="0" fillId="0" borderId="49" xfId="0" applyBorder="1">
      <alignment vertical="center"/>
    </xf>
    <xf numFmtId="0" fontId="0" fillId="0" borderId="50" xfId="0" applyBorder="1">
      <alignment vertical="center"/>
    </xf>
    <xf numFmtId="0" fontId="0" fillId="0" borderId="47" xfId="0" applyBorder="1" applyAlignment="1">
      <alignment vertical="center" shrinkToFit="1"/>
    </xf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0" fontId="0" fillId="0" borderId="27" xfId="0" applyBorder="1" applyAlignment="1">
      <alignment vertical="center" shrinkToFit="1"/>
    </xf>
    <xf numFmtId="0" fontId="0" fillId="4" borderId="0" xfId="0" applyFill="1" applyProtection="1">
      <alignment vertical="center"/>
      <protection locked="0"/>
    </xf>
    <xf numFmtId="0" fontId="7" fillId="0" borderId="67" xfId="0" applyFont="1" applyBorder="1" applyAlignment="1" applyProtection="1">
      <alignment horizontal="center" vertical="center"/>
      <protection locked="0"/>
    </xf>
    <xf numFmtId="0" fontId="7" fillId="0" borderId="62" xfId="0" applyFont="1" applyBorder="1" applyAlignment="1" applyProtection="1">
      <alignment horizontal="center" vertical="center"/>
      <protection locked="0"/>
    </xf>
    <xf numFmtId="0" fontId="7" fillId="0" borderId="63" xfId="0" applyFont="1" applyBorder="1" applyAlignment="1" applyProtection="1">
      <alignment horizontal="center" vertical="center"/>
      <protection locked="0"/>
    </xf>
    <xf numFmtId="0" fontId="7" fillId="0" borderId="75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76" xfId="0" applyFont="1" applyBorder="1" applyAlignment="1" applyProtection="1">
      <alignment horizontal="center" vertical="center"/>
      <protection locked="0"/>
    </xf>
    <xf numFmtId="0" fontId="7" fillId="0" borderId="77" xfId="0" applyFont="1" applyBorder="1" applyAlignment="1" applyProtection="1">
      <alignment horizontal="center" vertical="center"/>
      <protection locked="0"/>
    </xf>
    <xf numFmtId="0" fontId="7" fillId="0" borderId="78" xfId="0" applyFont="1" applyBorder="1" applyAlignment="1" applyProtection="1">
      <alignment horizontal="center" vertical="center"/>
      <protection locked="0"/>
    </xf>
    <xf numFmtId="0" fontId="7" fillId="0" borderId="79" xfId="0" applyFont="1" applyBorder="1" applyAlignment="1" applyProtection="1">
      <alignment horizontal="center" vertical="center"/>
      <protection locked="0"/>
    </xf>
    <xf numFmtId="0" fontId="6" fillId="4" borderId="67" xfId="0" applyFont="1" applyFill="1" applyBorder="1" applyAlignment="1" applyProtection="1">
      <alignment horizontal="center" vertical="center"/>
      <protection locked="0"/>
    </xf>
    <xf numFmtId="0" fontId="6" fillId="4" borderId="62" xfId="0" applyFont="1" applyFill="1" applyBorder="1" applyAlignment="1" applyProtection="1">
      <alignment horizontal="center" vertical="center"/>
      <protection locked="0"/>
    </xf>
    <xf numFmtId="0" fontId="6" fillId="4" borderId="63" xfId="0" applyFont="1" applyFill="1" applyBorder="1" applyAlignment="1" applyProtection="1">
      <alignment horizontal="center" vertical="center"/>
      <protection locked="0"/>
    </xf>
    <xf numFmtId="0" fontId="6" fillId="4" borderId="75" xfId="0" applyFont="1" applyFill="1" applyBorder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6" fillId="4" borderId="76" xfId="0" applyFont="1" applyFill="1" applyBorder="1" applyAlignment="1" applyProtection="1">
      <alignment horizontal="center" vertical="center"/>
      <protection locked="0"/>
    </xf>
    <xf numFmtId="0" fontId="6" fillId="4" borderId="77" xfId="0" applyFont="1" applyFill="1" applyBorder="1" applyAlignment="1" applyProtection="1">
      <alignment horizontal="center" vertical="center"/>
      <protection locked="0"/>
    </xf>
    <xf numFmtId="0" fontId="6" fillId="4" borderId="78" xfId="0" applyFont="1" applyFill="1" applyBorder="1" applyAlignment="1" applyProtection="1">
      <alignment horizontal="center" vertical="center"/>
      <protection locked="0"/>
    </xf>
    <xf numFmtId="0" fontId="6" fillId="4" borderId="79" xfId="0" applyFont="1" applyFill="1" applyBorder="1" applyAlignment="1" applyProtection="1">
      <alignment horizontal="center" vertical="center"/>
      <protection locked="0"/>
    </xf>
    <xf numFmtId="0" fontId="3" fillId="0" borderId="70" xfId="0" applyFont="1" applyBorder="1" applyAlignment="1" applyProtection="1">
      <alignment horizontal="right" vertical="center"/>
      <protection locked="0"/>
    </xf>
    <xf numFmtId="0" fontId="3" fillId="0" borderId="65" xfId="0" applyFont="1" applyBorder="1" applyAlignment="1" applyProtection="1">
      <alignment horizontal="right" vertical="center"/>
      <protection locked="0"/>
    </xf>
    <xf numFmtId="0" fontId="3" fillId="0" borderId="66" xfId="0" applyFont="1" applyBorder="1" applyAlignment="1" applyProtection="1">
      <alignment horizontal="right" vertical="center"/>
      <protection locked="0"/>
    </xf>
    <xf numFmtId="0" fontId="4" fillId="0" borderId="70" xfId="0" applyFont="1" applyBorder="1" applyAlignment="1" applyProtection="1">
      <alignment horizontal="right" vertical="center"/>
      <protection locked="0"/>
    </xf>
    <xf numFmtId="0" fontId="4" fillId="0" borderId="65" xfId="0" applyFont="1" applyBorder="1" applyAlignment="1" applyProtection="1">
      <alignment horizontal="right" vertical="center"/>
      <protection locked="0"/>
    </xf>
    <xf numFmtId="0" fontId="4" fillId="0" borderId="66" xfId="0" applyFont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60" xfId="0" applyFont="1" applyBorder="1" applyAlignment="1" applyProtection="1">
      <alignment horizontal="center" vertical="center"/>
      <protection locked="0"/>
    </xf>
    <xf numFmtId="0" fontId="3" fillId="0" borderId="61" xfId="0" applyFont="1" applyBorder="1" applyAlignment="1" applyProtection="1">
      <alignment horizontal="center" vertical="center"/>
      <protection locked="0"/>
    </xf>
    <xf numFmtId="0" fontId="3" fillId="0" borderId="62" xfId="0" applyFont="1" applyBorder="1" applyAlignment="1" applyProtection="1">
      <alignment horizontal="center" vertical="center"/>
      <protection locked="0"/>
    </xf>
    <xf numFmtId="0" fontId="3" fillId="0" borderId="63" xfId="0" applyFont="1" applyBorder="1" applyAlignment="1" applyProtection="1">
      <alignment horizontal="center" vertical="center"/>
      <protection locked="0"/>
    </xf>
    <xf numFmtId="0" fontId="3" fillId="0" borderId="64" xfId="0" applyFont="1" applyBorder="1" applyAlignment="1" applyProtection="1">
      <alignment horizontal="center" vertical="center"/>
      <protection locked="0"/>
    </xf>
    <xf numFmtId="0" fontId="3" fillId="0" borderId="65" xfId="0" applyFont="1" applyBorder="1" applyAlignment="1" applyProtection="1">
      <alignment horizontal="center" vertical="center"/>
      <protection locked="0"/>
    </xf>
    <xf numFmtId="0" fontId="3" fillId="0" borderId="66" xfId="0" applyFont="1" applyBorder="1" applyAlignment="1" applyProtection="1">
      <alignment horizontal="center" vertical="center"/>
      <protection locked="0"/>
    </xf>
    <xf numFmtId="0" fontId="3" fillId="0" borderId="67" xfId="0" applyFont="1" applyBorder="1" applyAlignment="1" applyProtection="1">
      <alignment horizontal="center" vertical="center"/>
      <protection locked="0"/>
    </xf>
    <xf numFmtId="0" fontId="3" fillId="0" borderId="68" xfId="0" applyFont="1" applyBorder="1" applyAlignment="1" applyProtection="1">
      <alignment horizontal="center" vertical="center"/>
      <protection locked="0"/>
    </xf>
    <xf numFmtId="0" fontId="3" fillId="0" borderId="69" xfId="0" applyFont="1" applyBorder="1" applyAlignment="1" applyProtection="1">
      <alignment horizontal="center" vertical="center"/>
      <protection locked="0"/>
    </xf>
    <xf numFmtId="0" fontId="4" fillId="0" borderId="67" xfId="0" applyFont="1" applyBorder="1" applyAlignment="1" applyProtection="1">
      <alignment horizontal="center" vertical="center"/>
      <protection locked="0"/>
    </xf>
    <xf numFmtId="0" fontId="4" fillId="0" borderId="62" xfId="0" applyFont="1" applyBorder="1" applyAlignment="1" applyProtection="1">
      <alignment horizontal="center" vertical="center"/>
      <protection locked="0"/>
    </xf>
    <xf numFmtId="0" fontId="4" fillId="0" borderId="63" xfId="0" applyFont="1" applyBorder="1" applyAlignment="1" applyProtection="1">
      <alignment horizontal="center" vertical="center"/>
      <protection locked="0"/>
    </xf>
    <xf numFmtId="0" fontId="4" fillId="0" borderId="68" xfId="0" applyFont="1" applyBorder="1" applyAlignment="1" applyProtection="1">
      <alignment horizontal="center" vertical="center"/>
      <protection locked="0"/>
    </xf>
    <xf numFmtId="0" fontId="4" fillId="0" borderId="70" xfId="0" applyFont="1" applyBorder="1" applyAlignment="1" applyProtection="1">
      <alignment horizontal="center" vertical="center"/>
      <protection locked="0"/>
    </xf>
    <xf numFmtId="0" fontId="4" fillId="0" borderId="65" xfId="0" applyFont="1" applyBorder="1" applyAlignment="1" applyProtection="1">
      <alignment horizontal="center" vertical="center"/>
      <protection locked="0"/>
    </xf>
    <xf numFmtId="0" fontId="4" fillId="0" borderId="69" xfId="0" applyFont="1" applyBorder="1" applyAlignment="1" applyProtection="1">
      <alignment horizontal="center" vertical="center"/>
      <protection locked="0"/>
    </xf>
    <xf numFmtId="0" fontId="4" fillId="0" borderId="71" xfId="0" applyFont="1" applyBorder="1" applyAlignment="1" applyProtection="1">
      <alignment horizontal="center" vertical="center"/>
      <protection locked="0"/>
    </xf>
    <xf numFmtId="0" fontId="4" fillId="0" borderId="72" xfId="0" applyFont="1" applyBorder="1" applyAlignment="1" applyProtection="1">
      <alignment horizontal="center" vertical="center"/>
      <protection locked="0"/>
    </xf>
    <xf numFmtId="0" fontId="4" fillId="0" borderId="73" xfId="0" applyFont="1" applyBorder="1" applyAlignment="1" applyProtection="1">
      <alignment horizontal="center" vertical="center"/>
      <protection locked="0"/>
    </xf>
    <xf numFmtId="0" fontId="4" fillId="0" borderId="74" xfId="0" applyFont="1" applyBorder="1" applyAlignment="1" applyProtection="1">
      <alignment horizontal="center" vertical="center"/>
      <protection locked="0"/>
    </xf>
    <xf numFmtId="0" fontId="4" fillId="0" borderId="61" xfId="0" applyFont="1" applyBorder="1" applyAlignment="1" applyProtection="1">
      <alignment horizontal="center" vertical="center"/>
      <protection locked="0"/>
    </xf>
    <xf numFmtId="0" fontId="4" fillId="0" borderId="64" xfId="0" applyFont="1" applyBorder="1" applyAlignment="1" applyProtection="1">
      <alignment horizontal="center" vertical="center"/>
      <protection locked="0"/>
    </xf>
    <xf numFmtId="0" fontId="4" fillId="0" borderId="66" xfId="0" applyFont="1" applyBorder="1" applyAlignment="1" applyProtection="1">
      <alignment horizontal="center" vertical="center"/>
      <protection locked="0"/>
    </xf>
    <xf numFmtId="0" fontId="3" fillId="0" borderId="71" xfId="0" applyFont="1" applyBorder="1" applyAlignment="1" applyProtection="1">
      <alignment horizontal="center" vertical="center"/>
      <protection locked="0"/>
    </xf>
    <xf numFmtId="0" fontId="3" fillId="0" borderId="72" xfId="0" applyFont="1" applyBorder="1" applyAlignment="1" applyProtection="1">
      <alignment horizontal="center" vertical="center"/>
      <protection locked="0"/>
    </xf>
    <xf numFmtId="0" fontId="3" fillId="0" borderId="73" xfId="0" applyFont="1" applyBorder="1" applyAlignment="1" applyProtection="1">
      <alignment horizontal="center" vertical="center"/>
      <protection locked="0"/>
    </xf>
    <xf numFmtId="0" fontId="3" fillId="0" borderId="74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58AFD-7747-4FAB-828D-B46267B72835}">
  <sheetPr codeName="Sheet5">
    <tabColor rgb="FFFFC000"/>
    <pageSetUpPr fitToPage="1"/>
  </sheetPr>
  <dimension ref="A1:V46"/>
  <sheetViews>
    <sheetView tabSelected="1" view="pageBreakPreview" zoomScaleNormal="100" zoomScaleSheetLayoutView="100" workbookViewId="0">
      <selection activeCell="G13" sqref="G13"/>
    </sheetView>
  </sheetViews>
  <sheetFormatPr defaultColWidth="10.625" defaultRowHeight="13.5" x14ac:dyDescent="0.15"/>
  <cols>
    <col min="1" max="1" width="1.75" customWidth="1"/>
    <col min="2" max="2" width="8.375" bestFit="1" customWidth="1"/>
    <col min="3" max="3" width="5" customWidth="1"/>
    <col min="4" max="4" width="27.625" bestFit="1" customWidth="1"/>
    <col min="5" max="8" width="5.625" customWidth="1"/>
    <col min="9" max="9" width="7" customWidth="1"/>
    <col min="10" max="10" width="7.25" customWidth="1"/>
    <col min="11" max="11" width="8.375" customWidth="1"/>
    <col min="12" max="20" width="7" customWidth="1"/>
    <col min="21" max="21" width="2.75" customWidth="1"/>
  </cols>
  <sheetData>
    <row r="1" spans="1:22" ht="41.25" customHeight="1" x14ac:dyDescent="0.15">
      <c r="A1" s="1"/>
      <c r="B1" s="129" t="s">
        <v>205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30"/>
      <c r="Q1" s="59"/>
      <c r="R1" s="3" t="s">
        <v>37</v>
      </c>
      <c r="S1" s="1"/>
      <c r="T1" s="1"/>
      <c r="U1" s="1"/>
    </row>
    <row r="2" spans="1:22" ht="6.75" customHeight="1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2" ht="18.75" customHeight="1" x14ac:dyDescent="0.15">
      <c r="A3" s="1"/>
      <c r="B3" s="114" t="s">
        <v>197</v>
      </c>
      <c r="C3" s="115"/>
      <c r="D3" s="116"/>
      <c r="E3" s="137" t="s">
        <v>17</v>
      </c>
      <c r="F3" s="132"/>
      <c r="G3" s="132"/>
      <c r="H3" s="133"/>
      <c r="I3" s="132" t="s">
        <v>0</v>
      </c>
      <c r="J3" s="132"/>
      <c r="K3" s="138"/>
      <c r="L3" s="154" t="s">
        <v>1</v>
      </c>
      <c r="M3" s="132"/>
      <c r="N3" s="155"/>
      <c r="O3" s="131" t="s">
        <v>2</v>
      </c>
      <c r="P3" s="132"/>
      <c r="Q3" s="155"/>
      <c r="R3" s="131" t="s">
        <v>3</v>
      </c>
      <c r="S3" s="132"/>
      <c r="T3" s="133"/>
      <c r="U3" s="1"/>
    </row>
    <row r="4" spans="1:22" ht="18.75" customHeight="1" x14ac:dyDescent="0.15">
      <c r="A4" s="1"/>
      <c r="B4" s="117"/>
      <c r="C4" s="118"/>
      <c r="D4" s="119"/>
      <c r="E4" s="123" t="s">
        <v>10</v>
      </c>
      <c r="F4" s="124"/>
      <c r="G4" s="124"/>
      <c r="H4" s="125"/>
      <c r="I4" s="135"/>
      <c r="J4" s="135"/>
      <c r="K4" s="139"/>
      <c r="L4" s="156"/>
      <c r="M4" s="135"/>
      <c r="N4" s="157"/>
      <c r="O4" s="134"/>
      <c r="P4" s="135"/>
      <c r="Q4" s="157"/>
      <c r="R4" s="134"/>
      <c r="S4" s="135"/>
      <c r="T4" s="136"/>
      <c r="U4" s="1"/>
    </row>
    <row r="5" spans="1:22" ht="18.75" customHeight="1" x14ac:dyDescent="0.15">
      <c r="A5" s="1"/>
      <c r="B5" s="117"/>
      <c r="C5" s="118"/>
      <c r="D5" s="119"/>
      <c r="E5" s="49" t="s">
        <v>51</v>
      </c>
      <c r="F5" s="50" t="s">
        <v>52</v>
      </c>
      <c r="G5" s="50" t="s">
        <v>53</v>
      </c>
      <c r="H5" s="51" t="s">
        <v>54</v>
      </c>
      <c r="I5" s="37" t="s">
        <v>4</v>
      </c>
      <c r="J5" s="38" t="s">
        <v>5</v>
      </c>
      <c r="K5" s="39" t="s">
        <v>6</v>
      </c>
      <c r="L5" s="40" t="s">
        <v>7</v>
      </c>
      <c r="M5" s="38" t="s">
        <v>8</v>
      </c>
      <c r="N5" s="41" t="s">
        <v>9</v>
      </c>
      <c r="O5" s="39" t="s">
        <v>7</v>
      </c>
      <c r="P5" s="38" t="s">
        <v>8</v>
      </c>
      <c r="Q5" s="41" t="s">
        <v>9</v>
      </c>
      <c r="R5" s="39" t="s">
        <v>7</v>
      </c>
      <c r="S5" s="38" t="s">
        <v>8</v>
      </c>
      <c r="T5" s="42" t="s">
        <v>9</v>
      </c>
      <c r="U5" s="1"/>
    </row>
    <row r="6" spans="1:22" ht="25.5" customHeight="1" thickBot="1" x14ac:dyDescent="0.2">
      <c r="A6" s="1"/>
      <c r="B6" s="120"/>
      <c r="C6" s="121"/>
      <c r="D6" s="122"/>
      <c r="E6" s="78">
        <f>COUNTIF(E12:E38,"○")</f>
        <v>0</v>
      </c>
      <c r="F6" s="52">
        <f>COUNTIF(F12:F38,"○")</f>
        <v>0</v>
      </c>
      <c r="G6" s="52">
        <f>COUNTIF(G12:G38,"○")</f>
        <v>0</v>
      </c>
      <c r="H6" s="79">
        <f>COUNTIF(H12:H38,"○")</f>
        <v>0</v>
      </c>
      <c r="I6" s="53">
        <f>L6+O6+R6</f>
        <v>0</v>
      </c>
      <c r="J6" s="54">
        <f>M6+P6+S6</f>
        <v>0</v>
      </c>
      <c r="K6" s="55">
        <f>N6+Q6+T6</f>
        <v>0</v>
      </c>
      <c r="L6" s="56">
        <f t="shared" ref="L6:T6" si="0">SUM(L12:L38)</f>
        <v>0</v>
      </c>
      <c r="M6" s="54">
        <f t="shared" si="0"/>
        <v>0</v>
      </c>
      <c r="N6" s="57">
        <f t="shared" si="0"/>
        <v>0</v>
      </c>
      <c r="O6" s="55">
        <f t="shared" si="0"/>
        <v>0</v>
      </c>
      <c r="P6" s="54">
        <f t="shared" si="0"/>
        <v>0</v>
      </c>
      <c r="Q6" s="57">
        <f t="shared" si="0"/>
        <v>0</v>
      </c>
      <c r="R6" s="55">
        <f t="shared" si="0"/>
        <v>0</v>
      </c>
      <c r="S6" s="54">
        <f t="shared" si="0"/>
        <v>0</v>
      </c>
      <c r="T6" s="58">
        <f t="shared" si="0"/>
        <v>0</v>
      </c>
      <c r="U6" s="1"/>
    </row>
    <row r="7" spans="1:22" ht="25.5" customHeight="1" x14ac:dyDescent="0.15">
      <c r="A7" s="1"/>
      <c r="B7" s="1"/>
      <c r="C7" s="1"/>
      <c r="D7" s="1"/>
      <c r="E7" s="1" t="s">
        <v>16</v>
      </c>
      <c r="F7" s="1"/>
      <c r="G7" s="1"/>
      <c r="H7" s="1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1"/>
      <c r="V7" s="15">
        <f>SUM(I6:J6)</f>
        <v>0</v>
      </c>
    </row>
    <row r="8" spans="1:22" ht="10.5" customHeight="1" thickBot="1" x14ac:dyDescent="0.2">
      <c r="A8" s="1"/>
      <c r="B8" s="1"/>
      <c r="C8" s="1"/>
      <c r="D8" s="1"/>
      <c r="E8" s="1"/>
      <c r="F8" s="1"/>
      <c r="G8" s="1"/>
      <c r="H8" s="1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1"/>
    </row>
    <row r="9" spans="1:22" ht="17.25" customHeight="1" x14ac:dyDescent="0.15">
      <c r="A9" s="1"/>
      <c r="B9" s="105" t="s">
        <v>15</v>
      </c>
      <c r="C9" s="106"/>
      <c r="D9" s="107"/>
      <c r="E9" s="140" t="s">
        <v>18</v>
      </c>
      <c r="F9" s="141"/>
      <c r="G9" s="141"/>
      <c r="H9" s="142"/>
      <c r="I9" s="140" t="s">
        <v>0</v>
      </c>
      <c r="J9" s="141"/>
      <c r="K9" s="143"/>
      <c r="L9" s="147" t="s">
        <v>1</v>
      </c>
      <c r="M9" s="141"/>
      <c r="N9" s="148"/>
      <c r="O9" s="151" t="s">
        <v>2</v>
      </c>
      <c r="P9" s="141"/>
      <c r="Q9" s="148"/>
      <c r="R9" s="151" t="s">
        <v>3</v>
      </c>
      <c r="S9" s="141"/>
      <c r="T9" s="142"/>
      <c r="U9" s="1"/>
    </row>
    <row r="10" spans="1:22" ht="17.25" customHeight="1" x14ac:dyDescent="0.15">
      <c r="A10" s="1"/>
      <c r="B10" s="108"/>
      <c r="C10" s="109"/>
      <c r="D10" s="110"/>
      <c r="E10" s="126" t="s">
        <v>19</v>
      </c>
      <c r="F10" s="127"/>
      <c r="G10" s="127"/>
      <c r="H10" s="128"/>
      <c r="I10" s="144"/>
      <c r="J10" s="145"/>
      <c r="K10" s="146"/>
      <c r="L10" s="149"/>
      <c r="M10" s="145"/>
      <c r="N10" s="150"/>
      <c r="O10" s="152"/>
      <c r="P10" s="145"/>
      <c r="Q10" s="150"/>
      <c r="R10" s="152"/>
      <c r="S10" s="145"/>
      <c r="T10" s="153"/>
      <c r="U10" s="1"/>
    </row>
    <row r="11" spans="1:22" ht="17.25" customHeight="1" thickBot="1" x14ac:dyDescent="0.2">
      <c r="A11" s="1"/>
      <c r="B11" s="111"/>
      <c r="C11" s="112"/>
      <c r="D11" s="113"/>
      <c r="E11" s="4" t="s">
        <v>11</v>
      </c>
      <c r="F11" s="5" t="s">
        <v>12</v>
      </c>
      <c r="G11" s="5" t="s">
        <v>13</v>
      </c>
      <c r="H11" s="6" t="s">
        <v>14</v>
      </c>
      <c r="I11" s="12" t="s">
        <v>4</v>
      </c>
      <c r="J11" s="7" t="s">
        <v>5</v>
      </c>
      <c r="K11" s="8" t="s">
        <v>6</v>
      </c>
      <c r="L11" s="9" t="s">
        <v>7</v>
      </c>
      <c r="M11" s="10" t="s">
        <v>8</v>
      </c>
      <c r="N11" s="13" t="s">
        <v>9</v>
      </c>
      <c r="O11" s="8" t="s">
        <v>7</v>
      </c>
      <c r="P11" s="7" t="s">
        <v>8</v>
      </c>
      <c r="Q11" s="13" t="s">
        <v>9</v>
      </c>
      <c r="R11" s="11" t="s">
        <v>7</v>
      </c>
      <c r="S11" s="10" t="s">
        <v>8</v>
      </c>
      <c r="T11" s="14" t="s">
        <v>9</v>
      </c>
      <c r="U11" s="1"/>
    </row>
    <row r="12" spans="1:22" ht="26.25" customHeight="1" x14ac:dyDescent="0.15">
      <c r="A12" s="1"/>
      <c r="B12" s="92">
        <f>IF($B$3="","",IF(VLOOKUP($B$3,Sheet1!$A$1:$CH$14,2)="","",VLOOKUP($B$3,Sheet1!$A$1:$CH$14,2)))</f>
        <v>67</v>
      </c>
      <c r="C12" s="93">
        <f>IF($B$3="","",IF(VLOOKUP($B$3,Sheet1!$A$1:$CH$14,30)="","",VLOOKUP($B$3,Sheet1!$A$1:$CH$14,30)))</f>
        <v>401</v>
      </c>
      <c r="D12" s="94" t="str">
        <f>IF($B$3="","",IF(VLOOKUP($B$3,Sheet1!$A$1:$CH$14,58)="","",VLOOKUP($B$3,Sheet1!$A$1:$CH$14,58)))</f>
        <v>伊勢崎市立第一中学校</v>
      </c>
      <c r="E12" s="66"/>
      <c r="F12" s="67"/>
      <c r="G12" s="67"/>
      <c r="H12" s="68"/>
      <c r="I12" s="27">
        <f t="shared" ref="I12:K20" si="1">L12+O12+R12</f>
        <v>0</v>
      </c>
      <c r="J12" s="28">
        <f t="shared" si="1"/>
        <v>0</v>
      </c>
      <c r="K12" s="29">
        <f t="shared" si="1"/>
        <v>0</v>
      </c>
      <c r="L12" s="16"/>
      <c r="M12" s="17"/>
      <c r="N12" s="30">
        <f t="shared" ref="N12:N34" si="2">L12+M12</f>
        <v>0</v>
      </c>
      <c r="O12" s="18"/>
      <c r="P12" s="19"/>
      <c r="Q12" s="30">
        <f t="shared" ref="Q12:Q34" si="3">O12+P12</f>
        <v>0</v>
      </c>
      <c r="R12" s="20"/>
      <c r="S12" s="17"/>
      <c r="T12" s="31">
        <f t="shared" ref="T12:T34" si="4">R12+S12</f>
        <v>0</v>
      </c>
      <c r="U12" s="1"/>
    </row>
    <row r="13" spans="1:22" ht="26.25" customHeight="1" x14ac:dyDescent="0.15">
      <c r="A13" s="1"/>
      <c r="B13" s="95">
        <f>IF($B$3="","",IF(VLOOKUP($B$3,Sheet1!$A$1:$CH$14,3)="","",VLOOKUP($B$3,Sheet1!$A$1:$CH$14,3)))</f>
        <v>68</v>
      </c>
      <c r="C13" s="96">
        <f>IF($B$3="","",IF(VLOOKUP($B$3,Sheet1!$A$1:$CH$14,31)="","",VLOOKUP($B$3,Sheet1!$A$1:$CH$14,31)))</f>
        <v>402</v>
      </c>
      <c r="D13" s="97" t="str">
        <f>IF($B$3="","",IF(VLOOKUP($B$3,Sheet1!$A$1:$CH$14,59)="","",VLOOKUP($B$3,Sheet1!$A$1:$CH$14,59)))</f>
        <v>伊勢崎市立第二中学校</v>
      </c>
      <c r="E13" s="66"/>
      <c r="F13" s="67"/>
      <c r="G13" s="67"/>
      <c r="H13" s="68"/>
      <c r="I13" s="27">
        <f t="shared" si="1"/>
        <v>0</v>
      </c>
      <c r="J13" s="28">
        <f t="shared" si="1"/>
        <v>0</v>
      </c>
      <c r="K13" s="29">
        <f t="shared" si="1"/>
        <v>0</v>
      </c>
      <c r="L13" s="16"/>
      <c r="M13" s="17"/>
      <c r="N13" s="30">
        <f t="shared" si="2"/>
        <v>0</v>
      </c>
      <c r="O13" s="18"/>
      <c r="P13" s="19"/>
      <c r="Q13" s="30">
        <f t="shared" si="3"/>
        <v>0</v>
      </c>
      <c r="R13" s="20"/>
      <c r="S13" s="17"/>
      <c r="T13" s="31">
        <f t="shared" si="4"/>
        <v>0</v>
      </c>
      <c r="U13" s="1"/>
    </row>
    <row r="14" spans="1:22" ht="26.25" customHeight="1" x14ac:dyDescent="0.15">
      <c r="A14" s="1"/>
      <c r="B14" s="95">
        <f>IF($B$3="","",IF(VLOOKUP($B$3,Sheet1!$A$1:$CH$14,4)="","",VLOOKUP($B$3,Sheet1!$A$1:$CH$14,4)))</f>
        <v>69</v>
      </c>
      <c r="C14" s="96">
        <f>IF($B$3="","",IF(VLOOKUP($B$3,Sheet1!$A$1:$CH$14,32)="","",VLOOKUP($B$3,Sheet1!$A$1:$CH$14,32)))</f>
        <v>403</v>
      </c>
      <c r="D14" s="97" t="str">
        <f>IF($B$3="","",IF(VLOOKUP($B$3,Sheet1!$A$1:$CH$14,60)="","",VLOOKUP($B$3,Sheet1!$A$1:$CH$14,60)))</f>
        <v>伊勢崎市立第三中学校</v>
      </c>
      <c r="E14" s="66"/>
      <c r="F14" s="67"/>
      <c r="G14" s="67"/>
      <c r="H14" s="68"/>
      <c r="I14" s="27">
        <f t="shared" si="1"/>
        <v>0</v>
      </c>
      <c r="J14" s="28">
        <f t="shared" si="1"/>
        <v>0</v>
      </c>
      <c r="K14" s="29">
        <f t="shared" si="1"/>
        <v>0</v>
      </c>
      <c r="L14" s="16"/>
      <c r="M14" s="17"/>
      <c r="N14" s="30">
        <f t="shared" si="2"/>
        <v>0</v>
      </c>
      <c r="O14" s="18"/>
      <c r="P14" s="19"/>
      <c r="Q14" s="30">
        <f t="shared" si="3"/>
        <v>0</v>
      </c>
      <c r="R14" s="20"/>
      <c r="S14" s="17"/>
      <c r="T14" s="31">
        <f t="shared" si="4"/>
        <v>0</v>
      </c>
      <c r="U14" s="1"/>
    </row>
    <row r="15" spans="1:22" ht="26.25" customHeight="1" x14ac:dyDescent="0.15">
      <c r="A15" s="1"/>
      <c r="B15" s="95">
        <f>IF($B$3="","",IF(VLOOKUP($B$3,Sheet1!$A$1:$CH$14,5)="","",VLOOKUP($B$3,Sheet1!$A$1:$CH$14,5)))</f>
        <v>70</v>
      </c>
      <c r="C15" s="96">
        <f>IF($B$3="","",IF(VLOOKUP($B$3,Sheet1!$A$1:$CH$14,33)="","",VLOOKUP($B$3,Sheet1!$A$1:$CH$14,33)))</f>
        <v>404</v>
      </c>
      <c r="D15" s="97" t="str">
        <f>IF($B$3="","",IF(VLOOKUP($B$3,Sheet1!$A$1:$CH$14,61)="","",VLOOKUP($B$3,Sheet1!$A$1:$CH$14,61)))</f>
        <v>伊勢崎市立殖蓮中学校</v>
      </c>
      <c r="E15" s="66"/>
      <c r="F15" s="67"/>
      <c r="G15" s="67"/>
      <c r="H15" s="68"/>
      <c r="I15" s="27">
        <f>L15+O15+R15</f>
        <v>0</v>
      </c>
      <c r="J15" s="28">
        <f t="shared" si="1"/>
        <v>0</v>
      </c>
      <c r="K15" s="29">
        <f t="shared" si="1"/>
        <v>0</v>
      </c>
      <c r="L15" s="26"/>
      <c r="M15" s="17"/>
      <c r="N15" s="30">
        <f t="shared" si="2"/>
        <v>0</v>
      </c>
      <c r="O15" s="18"/>
      <c r="P15" s="19"/>
      <c r="Q15" s="30">
        <f t="shared" si="3"/>
        <v>0</v>
      </c>
      <c r="R15" s="20"/>
      <c r="S15" s="17"/>
      <c r="T15" s="31">
        <f t="shared" si="4"/>
        <v>0</v>
      </c>
      <c r="U15" s="1"/>
    </row>
    <row r="16" spans="1:22" ht="26.25" customHeight="1" x14ac:dyDescent="0.15">
      <c r="A16" s="1"/>
      <c r="B16" s="95">
        <f>IF($B$3="","",IF(VLOOKUP($B$3,Sheet1!$A$1:$CH$14,6)="","",VLOOKUP($B$3,Sheet1!$A$1:$CH$14,6)))</f>
        <v>71</v>
      </c>
      <c r="C16" s="96">
        <f>IF($B$3="","",IF(VLOOKUP($B$3,Sheet1!$A$1:$CH$14,34)="","",VLOOKUP($B$3,Sheet1!$A$1:$CH$14,34)))</f>
        <v>405</v>
      </c>
      <c r="D16" s="97" t="str">
        <f>IF($B$3="","",IF(VLOOKUP($B$3,Sheet1!$A$1:$CH$14,62)="","",VLOOKUP($B$3,Sheet1!$A$1:$CH$14,62)))</f>
        <v>伊勢崎市立宮郷中学校</v>
      </c>
      <c r="E16" s="66"/>
      <c r="F16" s="67"/>
      <c r="G16" s="67"/>
      <c r="H16" s="68"/>
      <c r="I16" s="27">
        <f t="shared" ref="I16:K31" si="5">L16+O16+R16</f>
        <v>0</v>
      </c>
      <c r="J16" s="28">
        <f t="shared" si="1"/>
        <v>0</v>
      </c>
      <c r="K16" s="29">
        <f t="shared" si="1"/>
        <v>0</v>
      </c>
      <c r="L16" s="16"/>
      <c r="M16" s="17"/>
      <c r="N16" s="30">
        <f t="shared" si="2"/>
        <v>0</v>
      </c>
      <c r="O16" s="18"/>
      <c r="P16" s="19"/>
      <c r="Q16" s="30">
        <f t="shared" si="3"/>
        <v>0</v>
      </c>
      <c r="R16" s="20"/>
      <c r="S16" s="17"/>
      <c r="T16" s="31">
        <f t="shared" si="4"/>
        <v>0</v>
      </c>
      <c r="U16" s="1"/>
    </row>
    <row r="17" spans="1:21" ht="26.25" customHeight="1" x14ac:dyDescent="0.15">
      <c r="A17" s="1"/>
      <c r="B17" s="95">
        <f>IF($B$3="","",IF(VLOOKUP($B$3,Sheet1!$A$1:$CH$14,7)="","",VLOOKUP($B$3,Sheet1!$A$1:$CH$14,7)))</f>
        <v>72</v>
      </c>
      <c r="C17" s="96">
        <f>IF($B$3="","",IF(VLOOKUP($B$3,Sheet1!$A$1:$CH$14,35)="","",VLOOKUP($B$3,Sheet1!$A$1:$CH$14,35)))</f>
        <v>406</v>
      </c>
      <c r="D17" s="97" t="str">
        <f>IF($B$3="","",IF(VLOOKUP($B$3,Sheet1!$A$1:$CH$14,63)="","",VLOOKUP($B$3,Sheet1!$A$1:$CH$14,63)))</f>
        <v>伊勢崎市立第四中学校</v>
      </c>
      <c r="E17" s="66"/>
      <c r="F17" s="67"/>
      <c r="G17" s="67"/>
      <c r="H17" s="68"/>
      <c r="I17" s="27">
        <f t="shared" si="5"/>
        <v>0</v>
      </c>
      <c r="J17" s="28">
        <f t="shared" si="1"/>
        <v>0</v>
      </c>
      <c r="K17" s="29">
        <f t="shared" si="1"/>
        <v>0</v>
      </c>
      <c r="L17" s="16"/>
      <c r="M17" s="17"/>
      <c r="N17" s="30">
        <f t="shared" si="2"/>
        <v>0</v>
      </c>
      <c r="O17" s="18"/>
      <c r="P17" s="19"/>
      <c r="Q17" s="30">
        <f t="shared" si="3"/>
        <v>0</v>
      </c>
      <c r="R17" s="20"/>
      <c r="S17" s="17"/>
      <c r="T17" s="31">
        <f t="shared" si="4"/>
        <v>0</v>
      </c>
      <c r="U17" s="1"/>
    </row>
    <row r="18" spans="1:21" ht="26.25" customHeight="1" x14ac:dyDescent="0.15">
      <c r="A18" s="1"/>
      <c r="B18" s="95">
        <f>IF($B$3="","",IF(VLOOKUP($B$3,Sheet1!$A$1:$CH$14,8)="","",VLOOKUP($B$3,Sheet1!$A$1:$CH$14,8)))</f>
        <v>73</v>
      </c>
      <c r="C18" s="96">
        <f>IF($B$3="","",IF(VLOOKUP($B$3,Sheet1!$A$1:$CH$14,36)="","",VLOOKUP($B$3,Sheet1!$A$1:$CH$14,36)))</f>
        <v>407</v>
      </c>
      <c r="D18" s="97" t="str">
        <f>IF($B$3="","",IF(VLOOKUP($B$3,Sheet1!$A$1:$CH$14,64)="","",VLOOKUP($B$3,Sheet1!$A$1:$CH$14,64)))</f>
        <v>伊勢崎市立赤堀中学校</v>
      </c>
      <c r="E18" s="66"/>
      <c r="F18" s="67"/>
      <c r="G18" s="67"/>
      <c r="H18" s="68"/>
      <c r="I18" s="27">
        <f t="shared" si="5"/>
        <v>0</v>
      </c>
      <c r="J18" s="28">
        <f t="shared" si="1"/>
        <v>0</v>
      </c>
      <c r="K18" s="29">
        <f t="shared" si="1"/>
        <v>0</v>
      </c>
      <c r="L18" s="16"/>
      <c r="M18" s="17"/>
      <c r="N18" s="30">
        <f t="shared" si="2"/>
        <v>0</v>
      </c>
      <c r="O18" s="18"/>
      <c r="P18" s="19"/>
      <c r="Q18" s="30">
        <f t="shared" si="3"/>
        <v>0</v>
      </c>
      <c r="R18" s="20"/>
      <c r="S18" s="17"/>
      <c r="T18" s="31">
        <f t="shared" si="4"/>
        <v>0</v>
      </c>
      <c r="U18" s="1"/>
    </row>
    <row r="19" spans="1:21" ht="26.25" customHeight="1" x14ac:dyDescent="0.15">
      <c r="A19" s="1"/>
      <c r="B19" s="95">
        <f>IF($B$3="","",IF(VLOOKUP($B$3,Sheet1!$A$1:$CH$14,9)="","",VLOOKUP($B$3,Sheet1!$A$1:$CH$14,9)))</f>
        <v>74</v>
      </c>
      <c r="C19" s="96">
        <f>IF($B$3="","",IF(VLOOKUP($B$3,Sheet1!$A$1:$CH$14,37)="","",VLOOKUP($B$3,Sheet1!$A$1:$CH$14,37)))</f>
        <v>408</v>
      </c>
      <c r="D19" s="97" t="str">
        <f>IF($B$3="","",IF(VLOOKUP($B$3,Sheet1!$A$1:$CH$14,65)="","",VLOOKUP($B$3,Sheet1!$A$1:$CH$14,65)))</f>
        <v>伊勢崎市立あずま中学校</v>
      </c>
      <c r="E19" s="66"/>
      <c r="F19" s="67"/>
      <c r="G19" s="67"/>
      <c r="H19" s="68"/>
      <c r="I19" s="27">
        <f t="shared" si="5"/>
        <v>0</v>
      </c>
      <c r="J19" s="28">
        <f t="shared" si="1"/>
        <v>0</v>
      </c>
      <c r="K19" s="29">
        <f t="shared" si="1"/>
        <v>0</v>
      </c>
      <c r="L19" s="16"/>
      <c r="M19" s="17"/>
      <c r="N19" s="30">
        <f t="shared" si="2"/>
        <v>0</v>
      </c>
      <c r="O19" s="18"/>
      <c r="P19" s="19"/>
      <c r="Q19" s="30">
        <f t="shared" si="3"/>
        <v>0</v>
      </c>
      <c r="R19" s="20"/>
      <c r="S19" s="17"/>
      <c r="T19" s="31">
        <f t="shared" si="4"/>
        <v>0</v>
      </c>
      <c r="U19" s="1"/>
    </row>
    <row r="20" spans="1:21" ht="26.25" customHeight="1" x14ac:dyDescent="0.15">
      <c r="A20" s="1"/>
      <c r="B20" s="95">
        <f>IF($B$3="","",IF(VLOOKUP($B$3,Sheet1!$A$1:$CH$14,10)="","",VLOOKUP($B$3,Sheet1!$A$1:$CH$14,10)))</f>
        <v>75</v>
      </c>
      <c r="C20" s="96">
        <f>IF($B$3="","",IF(VLOOKUP($B$3,Sheet1!$A$1:$CH$14,38)="","",VLOOKUP($B$3,Sheet1!$A$1:$CH$14,38)))</f>
        <v>409</v>
      </c>
      <c r="D20" s="97" t="str">
        <f>IF($B$3="","",IF(VLOOKUP($B$3,Sheet1!$A$1:$CH$14,66)="","",VLOOKUP($B$3,Sheet1!$A$1:$CH$14,66)))</f>
        <v>伊勢崎市立境北中学校</v>
      </c>
      <c r="E20" s="66"/>
      <c r="F20" s="67"/>
      <c r="G20" s="67"/>
      <c r="H20" s="68"/>
      <c r="I20" s="27">
        <f t="shared" si="5"/>
        <v>0</v>
      </c>
      <c r="J20" s="28">
        <f t="shared" si="1"/>
        <v>0</v>
      </c>
      <c r="K20" s="29">
        <f t="shared" si="1"/>
        <v>0</v>
      </c>
      <c r="L20" s="16"/>
      <c r="M20" s="17"/>
      <c r="N20" s="30">
        <f t="shared" si="2"/>
        <v>0</v>
      </c>
      <c r="O20" s="18"/>
      <c r="P20" s="19"/>
      <c r="Q20" s="30">
        <f t="shared" si="3"/>
        <v>0</v>
      </c>
      <c r="R20" s="20"/>
      <c r="S20" s="17"/>
      <c r="T20" s="31">
        <f t="shared" si="4"/>
        <v>0</v>
      </c>
      <c r="U20" s="1"/>
    </row>
    <row r="21" spans="1:21" ht="26.25" customHeight="1" x14ac:dyDescent="0.15">
      <c r="A21" s="1"/>
      <c r="B21" s="95">
        <f>IF($B$3="","",IF(VLOOKUP($B$3,Sheet1!$A$1:$CH$14,11)="","",VLOOKUP($B$3,Sheet1!$A$1:$CH$14,11)))</f>
        <v>76</v>
      </c>
      <c r="C21" s="96">
        <f>IF($B$3="","",IF(VLOOKUP($B$3,Sheet1!$A$1:$CH$14,39)="","",VLOOKUP($B$3,Sheet1!$A$1:$CH$14,39)))</f>
        <v>410</v>
      </c>
      <c r="D21" s="97" t="str">
        <f>IF($B$3="","",IF(VLOOKUP($B$3,Sheet1!$A$1:$CH$14,67)="","",VLOOKUP($B$3,Sheet1!$A$1:$CH$14,67)))</f>
        <v>伊勢崎市立境西中学校</v>
      </c>
      <c r="E21" s="66"/>
      <c r="F21" s="67"/>
      <c r="G21" s="67"/>
      <c r="H21" s="68"/>
      <c r="I21" s="27">
        <f t="shared" si="5"/>
        <v>0</v>
      </c>
      <c r="J21" s="28">
        <f>M21+P21+S21</f>
        <v>0</v>
      </c>
      <c r="K21" s="29">
        <f>N21+Q21+T21</f>
        <v>0</v>
      </c>
      <c r="L21" s="16"/>
      <c r="M21" s="17"/>
      <c r="N21" s="30">
        <f t="shared" si="2"/>
        <v>0</v>
      </c>
      <c r="O21" s="18"/>
      <c r="P21" s="19"/>
      <c r="Q21" s="30">
        <f t="shared" si="3"/>
        <v>0</v>
      </c>
      <c r="R21" s="20"/>
      <c r="S21" s="17"/>
      <c r="T21" s="31">
        <f t="shared" si="4"/>
        <v>0</v>
      </c>
      <c r="U21" s="1"/>
    </row>
    <row r="22" spans="1:21" ht="26.25" customHeight="1" x14ac:dyDescent="0.15">
      <c r="A22" s="1"/>
      <c r="B22" s="95">
        <f>IF($B$3="","",IF(VLOOKUP($B$3,Sheet1!$A$1:$CH$14,12)="","",VLOOKUP($B$3,Sheet1!$A$1:$CH$14,12)))</f>
        <v>77</v>
      </c>
      <c r="C22" s="96">
        <f>IF($B$3="","",IF(VLOOKUP($B$3,Sheet1!$A$1:$CH$14,40)="","",VLOOKUP($B$3,Sheet1!$A$1:$CH$14,40)))</f>
        <v>411</v>
      </c>
      <c r="D22" s="97" t="str">
        <f>IF($B$3="","",IF(VLOOKUP($B$3,Sheet1!$A$1:$CH$14,68)="","",VLOOKUP($B$3,Sheet1!$A$1:$CH$14,68)))</f>
        <v>伊勢崎市立境南中学校</v>
      </c>
      <c r="E22" s="66"/>
      <c r="F22" s="67"/>
      <c r="G22" s="67"/>
      <c r="H22" s="68"/>
      <c r="I22" s="27">
        <f t="shared" si="5"/>
        <v>0</v>
      </c>
      <c r="J22" s="28">
        <f t="shared" si="5"/>
        <v>0</v>
      </c>
      <c r="K22" s="29">
        <f t="shared" si="5"/>
        <v>0</v>
      </c>
      <c r="L22" s="16"/>
      <c r="M22" s="17"/>
      <c r="N22" s="30">
        <f t="shared" si="2"/>
        <v>0</v>
      </c>
      <c r="O22" s="18"/>
      <c r="P22" s="19"/>
      <c r="Q22" s="30">
        <f t="shared" si="3"/>
        <v>0</v>
      </c>
      <c r="R22" s="20"/>
      <c r="S22" s="17"/>
      <c r="T22" s="31">
        <f t="shared" si="4"/>
        <v>0</v>
      </c>
      <c r="U22" s="1"/>
    </row>
    <row r="23" spans="1:21" ht="26.25" customHeight="1" x14ac:dyDescent="0.15">
      <c r="A23" s="1"/>
      <c r="B23" s="95">
        <f>IF($B$3="","",IF(VLOOKUP($B$3,Sheet1!$A$1:$CH$14,13)="","",VLOOKUP($B$3,Sheet1!$A$1:$CH$14,13)))</f>
        <v>78</v>
      </c>
      <c r="C23" s="96">
        <f>IF($B$3="","",IF(VLOOKUP($B$3,Sheet1!$A$1:$CH$14,41)="","",VLOOKUP($B$3,Sheet1!$A$1:$CH$14,41)))</f>
        <v>412</v>
      </c>
      <c r="D23" s="97" t="str">
        <f>IF($B$3="","",IF(VLOOKUP($B$3,Sheet1!$A$1:$CH$14,69)="","",VLOOKUP($B$3,Sheet1!$A$1:$CH$14,69)))</f>
        <v>伊勢崎市立四ツ葉学園中等教育学校</v>
      </c>
      <c r="E23" s="66"/>
      <c r="F23" s="67"/>
      <c r="G23" s="67"/>
      <c r="H23" s="68"/>
      <c r="I23" s="27">
        <f t="shared" si="5"/>
        <v>0</v>
      </c>
      <c r="J23" s="28">
        <f t="shared" si="5"/>
        <v>0</v>
      </c>
      <c r="K23" s="29">
        <f t="shared" si="5"/>
        <v>0</v>
      </c>
      <c r="L23" s="16"/>
      <c r="M23" s="17"/>
      <c r="N23" s="30">
        <f t="shared" si="2"/>
        <v>0</v>
      </c>
      <c r="O23" s="18"/>
      <c r="P23" s="19"/>
      <c r="Q23" s="30">
        <f t="shared" si="3"/>
        <v>0</v>
      </c>
      <c r="R23" s="20"/>
      <c r="S23" s="17"/>
      <c r="T23" s="31">
        <f t="shared" si="4"/>
        <v>0</v>
      </c>
      <c r="U23" s="1"/>
    </row>
    <row r="24" spans="1:21" ht="26.25" customHeight="1" x14ac:dyDescent="0.15">
      <c r="A24" s="1"/>
      <c r="B24" s="95">
        <f>IF($B$3="","",IF(VLOOKUP($B$3,Sheet1!$A$1:$CH$14,14)="","",VLOOKUP($B$3,Sheet1!$A$1:$CH$14,14)))</f>
        <v>79</v>
      </c>
      <c r="C24" s="96">
        <f>IF($B$3="","",IF(VLOOKUP($B$3,Sheet1!$A$1:$CH$14,42)="","",VLOOKUP($B$3,Sheet1!$A$1:$CH$14,42)))</f>
        <v>413</v>
      </c>
      <c r="D24" s="97" t="str">
        <f>IF($B$3="","",IF(VLOOKUP($B$3,Sheet1!$A$1:$CH$14,70)="","",VLOOKUP($B$3,Sheet1!$A$1:$CH$14,70)))</f>
        <v>玉村町立玉村中学校</v>
      </c>
      <c r="E24" s="66"/>
      <c r="F24" s="67"/>
      <c r="G24" s="67"/>
      <c r="H24" s="68"/>
      <c r="I24" s="27">
        <f t="shared" si="5"/>
        <v>0</v>
      </c>
      <c r="J24" s="28">
        <f t="shared" si="5"/>
        <v>0</v>
      </c>
      <c r="K24" s="29">
        <f t="shared" si="5"/>
        <v>0</v>
      </c>
      <c r="L24" s="16"/>
      <c r="M24" s="17"/>
      <c r="N24" s="30">
        <f t="shared" si="2"/>
        <v>0</v>
      </c>
      <c r="O24" s="18"/>
      <c r="P24" s="19"/>
      <c r="Q24" s="30">
        <f t="shared" si="3"/>
        <v>0</v>
      </c>
      <c r="R24" s="20"/>
      <c r="S24" s="17"/>
      <c r="T24" s="31">
        <f t="shared" si="4"/>
        <v>0</v>
      </c>
      <c r="U24" s="1"/>
    </row>
    <row r="25" spans="1:21" ht="26.25" customHeight="1" x14ac:dyDescent="0.15">
      <c r="A25" s="1"/>
      <c r="B25" s="95">
        <f>IF($B$3="","",IF(VLOOKUP($B$3,Sheet1!$A$1:$CH$14,15)="","",VLOOKUP($B$3,Sheet1!$A$1:$CH$14,15)))</f>
        <v>80</v>
      </c>
      <c r="C25" s="96">
        <f>IF($B$3="","",IF(VLOOKUP($B$3,Sheet1!$A$1:$CH$14,43)="","",VLOOKUP($B$3,Sheet1!$A$1:$CH$14,43)))</f>
        <v>414</v>
      </c>
      <c r="D25" s="97" t="str">
        <f>IF($B$3="","",IF(VLOOKUP($B$3,Sheet1!$A$1:$CH$14,71)="","",VLOOKUP($B$3,Sheet1!$A$1:$CH$14,71)))</f>
        <v>玉村町立南中学校</v>
      </c>
      <c r="E25" s="66"/>
      <c r="F25" s="67"/>
      <c r="G25" s="67"/>
      <c r="H25" s="68"/>
      <c r="I25" s="27">
        <f t="shared" si="5"/>
        <v>0</v>
      </c>
      <c r="J25" s="28">
        <f t="shared" si="5"/>
        <v>0</v>
      </c>
      <c r="K25" s="29">
        <f t="shared" si="5"/>
        <v>0</v>
      </c>
      <c r="L25" s="16"/>
      <c r="M25" s="17"/>
      <c r="N25" s="30">
        <f t="shared" si="2"/>
        <v>0</v>
      </c>
      <c r="O25" s="18"/>
      <c r="P25" s="19"/>
      <c r="Q25" s="30">
        <f t="shared" si="3"/>
        <v>0</v>
      </c>
      <c r="R25" s="20"/>
      <c r="S25" s="17"/>
      <c r="T25" s="31">
        <f t="shared" si="4"/>
        <v>0</v>
      </c>
      <c r="U25" s="1"/>
    </row>
    <row r="26" spans="1:21" ht="26.25" customHeight="1" x14ac:dyDescent="0.15">
      <c r="A26" s="1"/>
      <c r="B26" s="95" t="str">
        <f>IF($B$3="","",IF(VLOOKUP($B$3,Sheet1!$A$1:$CH$14,16)="","",VLOOKUP($B$3,Sheet1!$A$1:$CH$14,16)))</f>
        <v/>
      </c>
      <c r="C26" s="96" t="str">
        <f>IF($B$3="","",IF(VLOOKUP($B$3,Sheet1!$A$1:$CH$14,44)="","",VLOOKUP($B$3,Sheet1!$A$1:$CH$14,44)))</f>
        <v/>
      </c>
      <c r="D26" s="97" t="str">
        <f>IF($B$3="","",IF(VLOOKUP($B$3,Sheet1!$A$1:$CH$14,72)="","",VLOOKUP($B$3,Sheet1!$A$1:$CH$14,72)))</f>
        <v/>
      </c>
      <c r="E26" s="69"/>
      <c r="F26" s="70"/>
      <c r="G26" s="70"/>
      <c r="H26" s="71"/>
      <c r="I26" s="32">
        <f t="shared" si="5"/>
        <v>0</v>
      </c>
      <c r="J26" s="33">
        <f>M26+P26+S26</f>
        <v>0</v>
      </c>
      <c r="K26" s="34">
        <f t="shared" si="5"/>
        <v>0</v>
      </c>
      <c r="L26" s="21"/>
      <c r="M26" s="22"/>
      <c r="N26" s="35">
        <f t="shared" si="2"/>
        <v>0</v>
      </c>
      <c r="O26" s="23"/>
      <c r="P26" s="24"/>
      <c r="Q26" s="35">
        <f t="shared" si="3"/>
        <v>0</v>
      </c>
      <c r="R26" s="25"/>
      <c r="S26" s="22"/>
      <c r="T26" s="36">
        <f t="shared" si="4"/>
        <v>0</v>
      </c>
      <c r="U26" s="1"/>
    </row>
    <row r="27" spans="1:21" ht="26.25" customHeight="1" x14ac:dyDescent="0.15">
      <c r="A27" s="1"/>
      <c r="B27" s="95" t="str">
        <f>IF($B$3="","",IF(VLOOKUP($B$3,Sheet1!$A$1:$CH$14,17)="","",VLOOKUP($B$3,Sheet1!$A$1:$CH$14,17)))</f>
        <v/>
      </c>
      <c r="C27" s="96" t="str">
        <f>IF($B$3="","",IF(VLOOKUP($B$3,Sheet1!$A$1:$CH$14,45)="","",VLOOKUP($B$3,Sheet1!$A$1:$CH$14,45)))</f>
        <v/>
      </c>
      <c r="D27" s="97" t="str">
        <f>IF($B$3="","",IF(VLOOKUP($B$3,Sheet1!$A$1:$CH$14,73)="","",VLOOKUP($B$3,Sheet1!$A$1:$CH$14,73)))</f>
        <v/>
      </c>
      <c r="E27" s="66"/>
      <c r="F27" s="67"/>
      <c r="G27" s="67"/>
      <c r="H27" s="68"/>
      <c r="I27" s="27">
        <f t="shared" si="5"/>
        <v>0</v>
      </c>
      <c r="J27" s="28">
        <f t="shared" si="5"/>
        <v>0</v>
      </c>
      <c r="K27" s="29">
        <f t="shared" si="5"/>
        <v>0</v>
      </c>
      <c r="L27" s="16"/>
      <c r="M27" s="17"/>
      <c r="N27" s="30">
        <f t="shared" si="2"/>
        <v>0</v>
      </c>
      <c r="O27" s="18"/>
      <c r="P27" s="19"/>
      <c r="Q27" s="30">
        <f t="shared" si="3"/>
        <v>0</v>
      </c>
      <c r="R27" s="20"/>
      <c r="S27" s="17"/>
      <c r="T27" s="31">
        <f t="shared" si="4"/>
        <v>0</v>
      </c>
      <c r="U27" s="1"/>
    </row>
    <row r="28" spans="1:21" ht="26.25" customHeight="1" x14ac:dyDescent="0.15">
      <c r="A28" s="1"/>
      <c r="B28" s="95" t="str">
        <f>IF($B$3="","",IF(VLOOKUP($B$3,Sheet1!$A$1:$CH$14,18)="","",VLOOKUP($B$3,Sheet1!$A$1:$CH$14,18)))</f>
        <v/>
      </c>
      <c r="C28" s="96" t="str">
        <f>IF($B$3="","",IF(VLOOKUP($B$3,Sheet1!$A$1:$CH$14,46)="","",VLOOKUP($B$3,Sheet1!$A$1:$CH$14,46)))</f>
        <v/>
      </c>
      <c r="D28" s="97" t="str">
        <f>IF($B$3="","",IF(VLOOKUP($B$3,Sheet1!$A$1:$CH$14,74)="","",VLOOKUP($B$3,Sheet1!$A$1:$CH$14,74)))</f>
        <v/>
      </c>
      <c r="E28" s="66"/>
      <c r="F28" s="67"/>
      <c r="G28" s="67"/>
      <c r="H28" s="68"/>
      <c r="I28" s="27">
        <f t="shared" si="5"/>
        <v>0</v>
      </c>
      <c r="J28" s="28">
        <f t="shared" si="5"/>
        <v>0</v>
      </c>
      <c r="K28" s="29">
        <f t="shared" si="5"/>
        <v>0</v>
      </c>
      <c r="L28" s="16"/>
      <c r="M28" s="17"/>
      <c r="N28" s="30">
        <f t="shared" si="2"/>
        <v>0</v>
      </c>
      <c r="O28" s="18"/>
      <c r="P28" s="19"/>
      <c r="Q28" s="30">
        <f t="shared" si="3"/>
        <v>0</v>
      </c>
      <c r="R28" s="20"/>
      <c r="S28" s="17"/>
      <c r="T28" s="31">
        <f t="shared" si="4"/>
        <v>0</v>
      </c>
      <c r="U28" s="1"/>
    </row>
    <row r="29" spans="1:21" ht="26.25" customHeight="1" x14ac:dyDescent="0.15">
      <c r="A29" s="1"/>
      <c r="B29" s="95" t="str">
        <f>IF($B$3="","",IF(VLOOKUP($B$3,Sheet1!$A$1:$CH$14,19)="","",VLOOKUP($B$3,Sheet1!$A$1:$CH$14,19)))</f>
        <v/>
      </c>
      <c r="C29" s="96" t="str">
        <f>IF($B$3="","",IF(VLOOKUP($B$3,Sheet1!$A$1:$CH$14,47)="","",VLOOKUP($B$3,Sheet1!$A$1:$CH$14,47)))</f>
        <v/>
      </c>
      <c r="D29" s="97" t="str">
        <f>IF($B$3="","",IF(VLOOKUP($B$3,Sheet1!$A$1:$CH$14,75)="","",VLOOKUP($B$3,Sheet1!$A$1:$CH$14,75)))</f>
        <v/>
      </c>
      <c r="E29" s="66"/>
      <c r="F29" s="67"/>
      <c r="G29" s="67"/>
      <c r="H29" s="68"/>
      <c r="I29" s="27">
        <f t="shared" si="5"/>
        <v>0</v>
      </c>
      <c r="J29" s="28">
        <f t="shared" si="5"/>
        <v>0</v>
      </c>
      <c r="K29" s="29">
        <f t="shared" si="5"/>
        <v>0</v>
      </c>
      <c r="L29" s="16"/>
      <c r="M29" s="17"/>
      <c r="N29" s="30">
        <f t="shared" si="2"/>
        <v>0</v>
      </c>
      <c r="O29" s="18"/>
      <c r="P29" s="19"/>
      <c r="Q29" s="30">
        <f t="shared" si="3"/>
        <v>0</v>
      </c>
      <c r="R29" s="20"/>
      <c r="S29" s="17"/>
      <c r="T29" s="31">
        <f t="shared" si="4"/>
        <v>0</v>
      </c>
      <c r="U29" s="1"/>
    </row>
    <row r="30" spans="1:21" ht="26.25" customHeight="1" x14ac:dyDescent="0.15">
      <c r="A30" s="1"/>
      <c r="B30" s="95" t="str">
        <f>IF($B$3="","",IF(VLOOKUP($B$3,Sheet1!$A$1:$CH$14,20)="","",VLOOKUP($B$3,Sheet1!$A$1:$CH$14,20)))</f>
        <v/>
      </c>
      <c r="C30" s="96" t="str">
        <f>IF($B$3="","",IF(VLOOKUP($B$3,Sheet1!$A$1:$CH$14,48)="","",VLOOKUP($B$3,Sheet1!$A$1:$CH$14,48)))</f>
        <v/>
      </c>
      <c r="D30" s="97" t="str">
        <f>IF($B$3="","",IF(VLOOKUP($B$3,Sheet1!$A$1:$CH$14,76)="","",VLOOKUP($B$3,Sheet1!$A$1:$CH$14,76)))</f>
        <v/>
      </c>
      <c r="E30" s="66"/>
      <c r="F30" s="67"/>
      <c r="G30" s="67"/>
      <c r="H30" s="68"/>
      <c r="I30" s="27">
        <f t="shared" si="5"/>
        <v>0</v>
      </c>
      <c r="J30" s="28">
        <f t="shared" si="5"/>
        <v>0</v>
      </c>
      <c r="K30" s="29">
        <f t="shared" si="5"/>
        <v>0</v>
      </c>
      <c r="L30" s="16"/>
      <c r="M30" s="17"/>
      <c r="N30" s="30">
        <f t="shared" si="2"/>
        <v>0</v>
      </c>
      <c r="O30" s="18"/>
      <c r="P30" s="19"/>
      <c r="Q30" s="30">
        <f t="shared" si="3"/>
        <v>0</v>
      </c>
      <c r="R30" s="20"/>
      <c r="S30" s="17"/>
      <c r="T30" s="31">
        <f t="shared" si="4"/>
        <v>0</v>
      </c>
      <c r="U30" s="1"/>
    </row>
    <row r="31" spans="1:21" ht="26.25" customHeight="1" x14ac:dyDescent="0.15">
      <c r="A31" s="1"/>
      <c r="B31" s="95" t="str">
        <f>IF($B$3="","",IF(VLOOKUP($B$3,Sheet1!$A$1:$CH$14,21)="","",VLOOKUP($B$3,Sheet1!$A$1:$CH$14,21)))</f>
        <v/>
      </c>
      <c r="C31" s="96" t="str">
        <f>IF($B$3="","",IF(VLOOKUP($B$3,Sheet1!$A$1:$CH$14,49)="","",VLOOKUP($B$3,Sheet1!$A$1:$CH$14,49)))</f>
        <v/>
      </c>
      <c r="D31" s="97" t="str">
        <f>IF($B$3="","",IF(VLOOKUP($B$3,Sheet1!$A$1:$CH$14,77)="","",VLOOKUP($B$3,Sheet1!$A$1:$CH$14,77)))</f>
        <v/>
      </c>
      <c r="E31" s="66"/>
      <c r="F31" s="67"/>
      <c r="G31" s="67"/>
      <c r="H31" s="68"/>
      <c r="I31" s="27">
        <f t="shared" si="5"/>
        <v>0</v>
      </c>
      <c r="J31" s="28">
        <f t="shared" si="5"/>
        <v>0</v>
      </c>
      <c r="K31" s="29">
        <f t="shared" si="5"/>
        <v>0</v>
      </c>
      <c r="L31" s="16"/>
      <c r="M31" s="17"/>
      <c r="N31" s="30">
        <f t="shared" si="2"/>
        <v>0</v>
      </c>
      <c r="O31" s="18"/>
      <c r="P31" s="19"/>
      <c r="Q31" s="30">
        <f t="shared" si="3"/>
        <v>0</v>
      </c>
      <c r="R31" s="20"/>
      <c r="S31" s="17"/>
      <c r="T31" s="31">
        <f t="shared" si="4"/>
        <v>0</v>
      </c>
      <c r="U31" s="1"/>
    </row>
    <row r="32" spans="1:21" ht="26.25" customHeight="1" x14ac:dyDescent="0.15">
      <c r="A32" s="1"/>
      <c r="B32" s="95" t="str">
        <f>IF($B$3="","",IF(VLOOKUP($B$3,Sheet1!$A$1:$CH$14,22)="","",VLOOKUP($B$3,Sheet1!$A$1:$CH$14,22)))</f>
        <v/>
      </c>
      <c r="C32" s="96" t="str">
        <f>IF($B$3="","",IF(VLOOKUP($B$3,Sheet1!$A$1:$CH$14,50)="","",VLOOKUP($B$3,Sheet1!$A$1:$CH$14,50)))</f>
        <v/>
      </c>
      <c r="D32" s="97" t="str">
        <f>IF($B$3="","",IF(VLOOKUP($B$3,Sheet1!$A$1:$CH$14,78)="","",VLOOKUP($B$3,Sheet1!$A$1:$CH$14,78)))</f>
        <v/>
      </c>
      <c r="E32" s="66"/>
      <c r="F32" s="67"/>
      <c r="G32" s="67"/>
      <c r="H32" s="68"/>
      <c r="I32" s="27">
        <f>L32+O32+R32</f>
        <v>0</v>
      </c>
      <c r="J32" s="28">
        <f>M32+P32+S32</f>
        <v>0</v>
      </c>
      <c r="K32" s="29">
        <f>N32+Q32+T32</f>
        <v>0</v>
      </c>
      <c r="L32" s="16"/>
      <c r="M32" s="17"/>
      <c r="N32" s="30">
        <f t="shared" si="2"/>
        <v>0</v>
      </c>
      <c r="O32" s="18"/>
      <c r="P32" s="19"/>
      <c r="Q32" s="30">
        <f t="shared" si="3"/>
        <v>0</v>
      </c>
      <c r="R32" s="20"/>
      <c r="S32" s="17"/>
      <c r="T32" s="31">
        <f t="shared" si="4"/>
        <v>0</v>
      </c>
      <c r="U32" s="1"/>
    </row>
    <row r="33" spans="1:21" ht="26.25" customHeight="1" x14ac:dyDescent="0.15">
      <c r="A33" s="1"/>
      <c r="B33" s="95" t="str">
        <f>IF($B$3="","",IF(VLOOKUP($B$3,Sheet1!$A$1:$CH$14,23)="","",VLOOKUP($B$3,Sheet1!$A$1:$CH$14,23)))</f>
        <v/>
      </c>
      <c r="C33" s="96" t="str">
        <f>IF($B$3="","",IF(VLOOKUP($B$3,Sheet1!$A$1:$CH$14,51)="","",VLOOKUP($B$3,Sheet1!$A$1:$CH$14,51)))</f>
        <v/>
      </c>
      <c r="D33" s="97" t="str">
        <f>IF($B$3="","",IF(VLOOKUP($B$3,Sheet1!$A$1:$CH$14,79)="","",VLOOKUP($B$3,Sheet1!$A$1:$CH$14,79)))</f>
        <v/>
      </c>
      <c r="E33" s="66"/>
      <c r="F33" s="67"/>
      <c r="G33" s="67"/>
      <c r="H33" s="68"/>
      <c r="I33" s="27">
        <f t="shared" ref="I33:K35" si="6">L33+O33+R33</f>
        <v>0</v>
      </c>
      <c r="J33" s="28">
        <f t="shared" si="6"/>
        <v>0</v>
      </c>
      <c r="K33" s="29">
        <f t="shared" si="6"/>
        <v>0</v>
      </c>
      <c r="L33" s="16"/>
      <c r="M33" s="17"/>
      <c r="N33" s="30">
        <f t="shared" si="2"/>
        <v>0</v>
      </c>
      <c r="O33" s="18"/>
      <c r="P33" s="19"/>
      <c r="Q33" s="30">
        <f t="shared" si="3"/>
        <v>0</v>
      </c>
      <c r="R33" s="20"/>
      <c r="S33" s="17"/>
      <c r="T33" s="31">
        <f t="shared" si="4"/>
        <v>0</v>
      </c>
      <c r="U33" s="1"/>
    </row>
    <row r="34" spans="1:21" ht="26.25" customHeight="1" x14ac:dyDescent="0.15">
      <c r="A34" s="1"/>
      <c r="B34" s="95" t="str">
        <f>IF($B$3="","",IF(VLOOKUP($B$3,Sheet1!$A$1:$CH$14,24)="","",VLOOKUP($B$3,Sheet1!$A$1:$CH$14,24)))</f>
        <v/>
      </c>
      <c r="C34" s="96" t="str">
        <f>IF($B$3="","",IF(VLOOKUP($B$3,Sheet1!$A$1:$CH$14,52)="","",VLOOKUP($B$3,Sheet1!$A$1:$CH$14,52)))</f>
        <v/>
      </c>
      <c r="D34" s="97" t="str">
        <f>IF($B$3="","",IF(VLOOKUP($B$3,Sheet1!$A$1:$CH$14,80)="","",VLOOKUP($B$3,Sheet1!$A$1:$CH$14,80)))</f>
        <v/>
      </c>
      <c r="E34" s="72"/>
      <c r="F34" s="73"/>
      <c r="G34" s="73"/>
      <c r="H34" s="74"/>
      <c r="I34" s="27">
        <f t="shared" si="6"/>
        <v>0</v>
      </c>
      <c r="J34" s="28">
        <f t="shared" si="6"/>
        <v>0</v>
      </c>
      <c r="K34" s="29">
        <f t="shared" si="6"/>
        <v>0</v>
      </c>
      <c r="L34" s="16"/>
      <c r="M34" s="17"/>
      <c r="N34" s="30">
        <f t="shared" si="2"/>
        <v>0</v>
      </c>
      <c r="O34" s="18"/>
      <c r="P34" s="19"/>
      <c r="Q34" s="30">
        <f t="shared" si="3"/>
        <v>0</v>
      </c>
      <c r="R34" s="20"/>
      <c r="S34" s="17"/>
      <c r="T34" s="31">
        <f t="shared" si="4"/>
        <v>0</v>
      </c>
      <c r="U34" s="1"/>
    </row>
    <row r="35" spans="1:21" ht="26.25" customHeight="1" x14ac:dyDescent="0.15">
      <c r="A35" s="1"/>
      <c r="B35" s="95" t="str">
        <f>IF($B$3="","",IF(VLOOKUP($B$3,Sheet1!$A$1:$CH$14,25)="","",VLOOKUP($B$3,Sheet1!$A$1:$CH$14,25)))</f>
        <v/>
      </c>
      <c r="C35" s="96" t="str">
        <f>IF($B$3="","",IF(VLOOKUP($B$3,Sheet1!$A$1:$CH$14,53)="","",VLOOKUP($B$3,Sheet1!$A$1:$CH$14,53)))</f>
        <v/>
      </c>
      <c r="D35" s="97" t="str">
        <f>IF($B$3="","",IF(VLOOKUP($B$3,Sheet1!$A$1:$CH$14,81)="","",VLOOKUP($B$3,Sheet1!$A$1:$CH$14,81)))</f>
        <v/>
      </c>
      <c r="E35" s="72"/>
      <c r="F35" s="73"/>
      <c r="G35" s="73"/>
      <c r="H35" s="74"/>
      <c r="I35" s="27">
        <f t="shared" si="6"/>
        <v>0</v>
      </c>
      <c r="J35" s="28">
        <f t="shared" si="6"/>
        <v>0</v>
      </c>
      <c r="K35" s="29">
        <f t="shared" si="6"/>
        <v>0</v>
      </c>
      <c r="L35" s="16"/>
      <c r="M35" s="17"/>
      <c r="N35" s="30">
        <f>L35+M35</f>
        <v>0</v>
      </c>
      <c r="O35" s="18"/>
      <c r="P35" s="19"/>
      <c r="Q35" s="30">
        <f>O35+P35</f>
        <v>0</v>
      </c>
      <c r="R35" s="20"/>
      <c r="S35" s="17"/>
      <c r="T35" s="31">
        <f>R35+S35</f>
        <v>0</v>
      </c>
      <c r="U35" s="1"/>
    </row>
    <row r="36" spans="1:21" ht="26.25" customHeight="1" x14ac:dyDescent="0.15">
      <c r="A36" s="1"/>
      <c r="B36" s="95" t="str">
        <f>IF($B$3="","",IF(VLOOKUP($B$3,Sheet1!$A$1:$CH$14,26)="","",VLOOKUP($B$3,Sheet1!$A$1:$CH$14,26)))</f>
        <v/>
      </c>
      <c r="C36" s="96" t="str">
        <f>IF($B$3="","",IF(VLOOKUP($B$3,Sheet1!$A$1:$CH$14,54)="","",VLOOKUP($B$3,Sheet1!$A$1:$CH$14,54)))</f>
        <v/>
      </c>
      <c r="D36" s="97" t="str">
        <f>IF($B$3="","",IF(VLOOKUP($B$3,Sheet1!$A$1:$CH$14,82)="","",VLOOKUP($B$3,Sheet1!$A$1:$CH$14,82)))</f>
        <v/>
      </c>
      <c r="E36" s="72"/>
      <c r="F36" s="73"/>
      <c r="G36" s="73"/>
      <c r="H36" s="74"/>
      <c r="I36" s="27">
        <f t="shared" ref="I36:K38" si="7">L36+O36+R36</f>
        <v>0</v>
      </c>
      <c r="J36" s="28">
        <f t="shared" si="7"/>
        <v>0</v>
      </c>
      <c r="K36" s="29">
        <f t="shared" si="7"/>
        <v>0</v>
      </c>
      <c r="L36" s="16"/>
      <c r="M36" s="17"/>
      <c r="N36" s="30">
        <f>L36+M36</f>
        <v>0</v>
      </c>
      <c r="O36" s="18"/>
      <c r="P36" s="19"/>
      <c r="Q36" s="30">
        <f>O36+P36</f>
        <v>0</v>
      </c>
      <c r="R36" s="20"/>
      <c r="S36" s="17"/>
      <c r="T36" s="31">
        <f>R36+S36</f>
        <v>0</v>
      </c>
      <c r="U36" s="1"/>
    </row>
    <row r="37" spans="1:21" ht="26.25" customHeight="1" x14ac:dyDescent="0.15">
      <c r="A37" s="1"/>
      <c r="B37" s="98" t="str">
        <f>IF($B$3="","",IF(VLOOKUP($B$3,Sheet1!$A$1:$CH$14,27)="","",VLOOKUP($B$3,Sheet1!$A$1:$CH$14,27)))</f>
        <v/>
      </c>
      <c r="C37" s="99" t="str">
        <f>IF($B$3="","",IF(VLOOKUP($B$3,Sheet1!$A$1:$CH$14,55)="","",VLOOKUP($B$3,Sheet1!$A$1:$CH$14,55)))</f>
        <v/>
      </c>
      <c r="D37" s="100" t="str">
        <f>IF($B$3="","",IF(VLOOKUP($B$3,Sheet1!$A$1:$CH$14,83)="","",VLOOKUP($B$3,Sheet1!$A$1:$CH$14,83)))</f>
        <v/>
      </c>
      <c r="E37" s="82"/>
      <c r="F37" s="83"/>
      <c r="G37" s="83"/>
      <c r="H37" s="84"/>
      <c r="I37" s="80">
        <f>L37+O37+R37</f>
        <v>0</v>
      </c>
      <c r="J37" s="81">
        <f>M37+P37+S37</f>
        <v>0</v>
      </c>
      <c r="K37" s="85">
        <f>N37+Q37+T37</f>
        <v>0</v>
      </c>
      <c r="L37" s="86"/>
      <c r="M37" s="87"/>
      <c r="N37" s="46">
        <f>L37+M37</f>
        <v>0</v>
      </c>
      <c r="O37" s="88"/>
      <c r="P37" s="89"/>
      <c r="Q37" s="46">
        <f>O37+P37</f>
        <v>0</v>
      </c>
      <c r="R37" s="90"/>
      <c r="S37" s="87"/>
      <c r="T37" s="91">
        <f>R37+S37</f>
        <v>0</v>
      </c>
      <c r="U37" s="1"/>
    </row>
    <row r="38" spans="1:21" ht="26.25" customHeight="1" thickBot="1" x14ac:dyDescent="0.2">
      <c r="A38" s="1"/>
      <c r="B38" s="101" t="str">
        <f>IF($B$3="","",IF(VLOOKUP($B$3,Sheet1!$A$1:$CH$14,28)="","",VLOOKUP($B$3,Sheet1!$A$1:$CH$14,28)))</f>
        <v/>
      </c>
      <c r="C38" s="102" t="str">
        <f>IF($B$3="","",IF(VLOOKUP($B$3,Sheet1!$A$1:$CH$14,56)="","",VLOOKUP($B$3,Sheet1!$A$1:$CH$14,56)))</f>
        <v/>
      </c>
      <c r="D38" s="103" t="str">
        <f>IF($B$3="","",IF(VLOOKUP($B$3,Sheet1!$A$1:$CH$14,84)="","",VLOOKUP($B$3,Sheet1!$A$1:$CH$14,84)))</f>
        <v/>
      </c>
      <c r="E38" s="75"/>
      <c r="F38" s="76"/>
      <c r="G38" s="76"/>
      <c r="H38" s="77"/>
      <c r="I38" s="44">
        <f t="shared" si="7"/>
        <v>0</v>
      </c>
      <c r="J38" s="43">
        <f t="shared" si="7"/>
        <v>0</v>
      </c>
      <c r="K38" s="45">
        <f t="shared" si="7"/>
        <v>0</v>
      </c>
      <c r="L38" s="60"/>
      <c r="M38" s="61"/>
      <c r="N38" s="47">
        <f>L38+M38</f>
        <v>0</v>
      </c>
      <c r="O38" s="62"/>
      <c r="P38" s="63"/>
      <c r="Q38" s="47">
        <f>O38+P38</f>
        <v>0</v>
      </c>
      <c r="R38" s="64"/>
      <c r="S38" s="61"/>
      <c r="T38" s="48">
        <f>R38+S38</f>
        <v>0</v>
      </c>
      <c r="U38" s="1"/>
    </row>
    <row r="39" spans="1:21" ht="33.75" customHeight="1" x14ac:dyDescent="0.15">
      <c r="A39" s="1"/>
      <c r="B39" s="1"/>
      <c r="C39" s="1"/>
      <c r="D39" s="1"/>
      <c r="Q39" s="1"/>
      <c r="R39" s="1"/>
      <c r="S39" s="1"/>
      <c r="T39" s="1"/>
      <c r="U39" s="1"/>
    </row>
    <row r="40" spans="1:21" ht="18" customHeight="1" x14ac:dyDescent="0.15">
      <c r="A40" s="1"/>
      <c r="B40" s="1"/>
      <c r="C40" s="1"/>
      <c r="D40" s="1"/>
      <c r="E40" s="1" t="s">
        <v>38</v>
      </c>
      <c r="F40" s="1"/>
      <c r="I40" s="65"/>
      <c r="J40" t="s">
        <v>204</v>
      </c>
      <c r="Q40" s="1"/>
      <c r="R40" s="1"/>
      <c r="S40" s="1"/>
      <c r="T40" s="1"/>
      <c r="U40" s="1"/>
    </row>
    <row r="41" spans="1:21" ht="18" customHeight="1" x14ac:dyDescent="0.15">
      <c r="A41" s="1"/>
      <c r="B41" s="1"/>
      <c r="C41" s="1"/>
      <c r="D41" s="1"/>
      <c r="E41" s="1" t="s">
        <v>39</v>
      </c>
      <c r="F41" s="1"/>
      <c r="G41" s="1"/>
      <c r="H41" s="1"/>
      <c r="I41" s="104"/>
      <c r="J41" s="1" t="s">
        <v>203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18" customHeight="1" x14ac:dyDescent="0.15">
      <c r="E42" s="1" t="s">
        <v>40</v>
      </c>
      <c r="F42" s="1"/>
    </row>
    <row r="43" spans="1:21" ht="18" customHeight="1" x14ac:dyDescent="0.15">
      <c r="E43" s="1" t="s">
        <v>41</v>
      </c>
      <c r="F43" s="1"/>
    </row>
    <row r="46" spans="1:21" x14ac:dyDescent="0.15">
      <c r="C46" t="s">
        <v>56</v>
      </c>
    </row>
  </sheetData>
  <sheetProtection sheet="1"/>
  <mergeCells count="15">
    <mergeCell ref="R3:T4"/>
    <mergeCell ref="E3:H3"/>
    <mergeCell ref="I3:K4"/>
    <mergeCell ref="E9:H9"/>
    <mergeCell ref="I9:K10"/>
    <mergeCell ref="L9:N10"/>
    <mergeCell ref="O9:Q10"/>
    <mergeCell ref="R9:T10"/>
    <mergeCell ref="L3:N4"/>
    <mergeCell ref="O3:Q4"/>
    <mergeCell ref="B9:D11"/>
    <mergeCell ref="B3:D6"/>
    <mergeCell ref="E4:H4"/>
    <mergeCell ref="E10:H10"/>
    <mergeCell ref="B1:P1"/>
  </mergeCells>
  <phoneticPr fontId="2"/>
  <dataValidations count="1">
    <dataValidation type="list" showInputMessage="1" showErrorMessage="1" sqref="E12:H38" xr:uid="{C9AFC6E5-45EF-44E9-B3AC-41A56B11DFC3}">
      <formula1>$C$45:$C$46</formula1>
    </dataValidation>
  </dataValidations>
  <pageMargins left="0.78700000000000003" right="0.78700000000000003" top="0.5" bottom="0.46" header="0.38" footer="0.34"/>
  <pageSetup paperSize="9" scale="57" orientation="portrait" r:id="rId1"/>
  <headerFooter alignWithMargins="0"/>
  <rowBreaks count="1" manualBreakCount="1">
    <brk id="38" max="19" man="1"/>
  </rowBreaks>
  <ignoredErrors>
    <ignoredError sqref="B12:D38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67CEFEE-678B-4667-B709-162B52A19399}">
          <x14:formula1>
            <xm:f>Sheet1!$A$1:$A$14</xm:f>
          </x14:formula1>
          <xm:sqref>B3:D6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A2E30-4905-49DE-8E0E-F540543AD4D8}">
  <dimension ref="A1:CF14"/>
  <sheetViews>
    <sheetView workbookViewId="0">
      <selection activeCell="C4" sqref="C4"/>
    </sheetView>
  </sheetViews>
  <sheetFormatPr defaultRowHeight="13.5" x14ac:dyDescent="0.15"/>
  <sheetData>
    <row r="1" spans="1:84" x14ac:dyDescent="0.15">
      <c r="A1" t="s">
        <v>194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>
        <v>13</v>
      </c>
      <c r="O1">
        <v>14</v>
      </c>
      <c r="P1">
        <v>15</v>
      </c>
      <c r="Q1">
        <v>16</v>
      </c>
      <c r="R1">
        <v>17</v>
      </c>
      <c r="S1">
        <v>18</v>
      </c>
      <c r="T1">
        <v>19</v>
      </c>
      <c r="U1">
        <v>20</v>
      </c>
      <c r="V1">
        <v>21</v>
      </c>
      <c r="W1">
        <v>22</v>
      </c>
      <c r="AD1">
        <v>101</v>
      </c>
      <c r="AE1">
        <v>102</v>
      </c>
      <c r="AF1">
        <v>103</v>
      </c>
      <c r="AG1">
        <v>104</v>
      </c>
      <c r="AH1">
        <v>105</v>
      </c>
      <c r="AI1">
        <v>106</v>
      </c>
      <c r="AJ1">
        <v>107</v>
      </c>
      <c r="AK1">
        <v>108</v>
      </c>
      <c r="AL1">
        <v>109</v>
      </c>
      <c r="AM1">
        <v>110</v>
      </c>
      <c r="AN1">
        <v>111</v>
      </c>
      <c r="AO1">
        <v>112</v>
      </c>
      <c r="AP1">
        <v>113</v>
      </c>
      <c r="AQ1">
        <v>114</v>
      </c>
      <c r="AR1">
        <v>115</v>
      </c>
      <c r="AS1">
        <v>116</v>
      </c>
      <c r="AT1">
        <v>117</v>
      </c>
      <c r="AU1">
        <v>118</v>
      </c>
      <c r="AV1">
        <v>119</v>
      </c>
      <c r="AW1">
        <v>120</v>
      </c>
      <c r="AX1">
        <v>121</v>
      </c>
      <c r="AY1">
        <v>122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</row>
    <row r="2" spans="1:84" x14ac:dyDescent="0.15">
      <c r="A2" t="s">
        <v>195</v>
      </c>
      <c r="B2">
        <v>23</v>
      </c>
      <c r="C2">
        <v>24</v>
      </c>
      <c r="D2">
        <v>25</v>
      </c>
      <c r="E2">
        <v>26</v>
      </c>
      <c r="F2">
        <v>27</v>
      </c>
      <c r="G2">
        <v>28</v>
      </c>
      <c r="H2">
        <v>29</v>
      </c>
      <c r="I2">
        <v>30</v>
      </c>
      <c r="J2">
        <v>31</v>
      </c>
      <c r="K2">
        <v>32</v>
      </c>
      <c r="L2">
        <v>33</v>
      </c>
      <c r="M2">
        <v>34</v>
      </c>
      <c r="N2">
        <v>35</v>
      </c>
      <c r="O2">
        <v>36</v>
      </c>
      <c r="P2">
        <v>37</v>
      </c>
      <c r="Q2">
        <v>38</v>
      </c>
      <c r="R2">
        <v>39</v>
      </c>
      <c r="S2">
        <v>40</v>
      </c>
      <c r="T2">
        <v>41</v>
      </c>
      <c r="U2">
        <v>42</v>
      </c>
      <c r="V2">
        <v>43</v>
      </c>
      <c r="W2">
        <v>44</v>
      </c>
      <c r="X2">
        <v>45</v>
      </c>
      <c r="Y2">
        <v>46</v>
      </c>
      <c r="Z2">
        <v>47</v>
      </c>
      <c r="AA2">
        <v>48</v>
      </c>
      <c r="AB2">
        <v>49</v>
      </c>
      <c r="AD2">
        <v>201</v>
      </c>
      <c r="AE2">
        <v>202</v>
      </c>
      <c r="AF2">
        <v>203</v>
      </c>
      <c r="AG2">
        <v>204</v>
      </c>
      <c r="AH2">
        <v>205</v>
      </c>
      <c r="AI2">
        <v>206</v>
      </c>
      <c r="AJ2">
        <v>207</v>
      </c>
      <c r="AK2">
        <v>208</v>
      </c>
      <c r="AL2">
        <v>209</v>
      </c>
      <c r="AM2">
        <v>210</v>
      </c>
      <c r="AN2">
        <v>211</v>
      </c>
      <c r="AO2">
        <v>212</v>
      </c>
      <c r="AP2">
        <v>213</v>
      </c>
      <c r="AQ2">
        <v>214</v>
      </c>
      <c r="AR2">
        <v>215</v>
      </c>
      <c r="AS2">
        <v>216</v>
      </c>
      <c r="AT2">
        <v>217</v>
      </c>
      <c r="AU2">
        <v>218</v>
      </c>
      <c r="AV2">
        <v>219</v>
      </c>
      <c r="AW2">
        <v>220</v>
      </c>
      <c r="AX2">
        <v>221</v>
      </c>
      <c r="AY2">
        <v>222</v>
      </c>
      <c r="AZ2">
        <v>223</v>
      </c>
      <c r="BA2">
        <v>224</v>
      </c>
      <c r="BB2">
        <v>225</v>
      </c>
      <c r="BC2">
        <v>226</v>
      </c>
      <c r="BD2">
        <v>227</v>
      </c>
      <c r="BF2" t="s">
        <v>20</v>
      </c>
      <c r="BG2" t="s">
        <v>22</v>
      </c>
      <c r="BH2" t="s">
        <v>23</v>
      </c>
      <c r="BI2" t="s">
        <v>24</v>
      </c>
      <c r="BJ2" t="s">
        <v>27</v>
      </c>
      <c r="BK2" t="s">
        <v>28</v>
      </c>
      <c r="BL2" t="s">
        <v>29</v>
      </c>
      <c r="BM2" t="s">
        <v>25</v>
      </c>
      <c r="BN2" t="s">
        <v>30</v>
      </c>
      <c r="BO2" t="s">
        <v>31</v>
      </c>
      <c r="BP2" t="s">
        <v>32</v>
      </c>
      <c r="BQ2" t="s">
        <v>26</v>
      </c>
      <c r="BR2" t="s">
        <v>33</v>
      </c>
      <c r="BS2" t="s">
        <v>34</v>
      </c>
      <c r="BT2" t="s">
        <v>35</v>
      </c>
      <c r="BU2" t="s">
        <v>21</v>
      </c>
      <c r="BV2" t="s">
        <v>42</v>
      </c>
      <c r="BW2" t="s">
        <v>46</v>
      </c>
      <c r="BX2" t="s">
        <v>43</v>
      </c>
      <c r="BY2" t="s">
        <v>44</v>
      </c>
      <c r="BZ2" t="s">
        <v>45</v>
      </c>
      <c r="CA2" t="s">
        <v>47</v>
      </c>
      <c r="CB2" t="s">
        <v>48</v>
      </c>
      <c r="CC2" t="s">
        <v>49</v>
      </c>
      <c r="CD2" t="s">
        <v>50</v>
      </c>
      <c r="CE2" t="s">
        <v>36</v>
      </c>
      <c r="CF2" t="s">
        <v>55</v>
      </c>
    </row>
    <row r="3" spans="1:84" x14ac:dyDescent="0.15">
      <c r="A3" t="s">
        <v>196</v>
      </c>
      <c r="B3">
        <v>50</v>
      </c>
      <c r="C3">
        <v>51</v>
      </c>
      <c r="D3">
        <v>52</v>
      </c>
      <c r="E3">
        <v>53</v>
      </c>
      <c r="F3">
        <v>54</v>
      </c>
      <c r="G3">
        <v>55</v>
      </c>
      <c r="H3">
        <v>56</v>
      </c>
      <c r="I3">
        <v>57</v>
      </c>
      <c r="J3">
        <v>58</v>
      </c>
      <c r="K3">
        <v>59</v>
      </c>
      <c r="L3">
        <v>60</v>
      </c>
      <c r="M3">
        <v>61</v>
      </c>
      <c r="N3">
        <v>62</v>
      </c>
      <c r="O3">
        <v>63</v>
      </c>
      <c r="P3">
        <v>64</v>
      </c>
      <c r="Q3">
        <v>65</v>
      </c>
      <c r="R3">
        <v>66</v>
      </c>
      <c r="AD3">
        <v>301</v>
      </c>
      <c r="AE3">
        <v>302</v>
      </c>
      <c r="AF3">
        <v>303</v>
      </c>
      <c r="AG3">
        <v>304</v>
      </c>
      <c r="AH3">
        <v>305</v>
      </c>
      <c r="AI3">
        <v>306</v>
      </c>
      <c r="AJ3">
        <v>307</v>
      </c>
      <c r="AK3">
        <v>308</v>
      </c>
      <c r="AL3">
        <v>309</v>
      </c>
      <c r="AM3">
        <v>310</v>
      </c>
      <c r="AN3">
        <v>311</v>
      </c>
      <c r="AO3">
        <v>312</v>
      </c>
      <c r="AP3">
        <v>313</v>
      </c>
      <c r="AQ3">
        <v>314</v>
      </c>
      <c r="AR3">
        <v>315</v>
      </c>
      <c r="AS3">
        <v>316</v>
      </c>
      <c r="AT3">
        <v>317</v>
      </c>
      <c r="BF3" t="s">
        <v>79</v>
      </c>
      <c r="BG3" t="s">
        <v>80</v>
      </c>
      <c r="BH3" t="s">
        <v>81</v>
      </c>
      <c r="BI3" t="s">
        <v>82</v>
      </c>
      <c r="BJ3" t="s">
        <v>83</v>
      </c>
      <c r="BK3" t="s">
        <v>84</v>
      </c>
      <c r="BL3" t="s">
        <v>85</v>
      </c>
      <c r="BM3" t="s">
        <v>86</v>
      </c>
      <c r="BN3" t="s">
        <v>87</v>
      </c>
      <c r="BO3" t="s">
        <v>88</v>
      </c>
      <c r="BP3" t="s">
        <v>89</v>
      </c>
      <c r="BQ3" t="s">
        <v>90</v>
      </c>
      <c r="BR3" t="s">
        <v>91</v>
      </c>
      <c r="BS3" t="s">
        <v>92</v>
      </c>
      <c r="BT3" t="s">
        <v>93</v>
      </c>
      <c r="BU3" t="s">
        <v>94</v>
      </c>
      <c r="BV3" t="s">
        <v>95</v>
      </c>
    </row>
    <row r="4" spans="1:84" x14ac:dyDescent="0.15">
      <c r="A4" t="s">
        <v>197</v>
      </c>
      <c r="B4">
        <v>67</v>
      </c>
      <c r="C4">
        <v>68</v>
      </c>
      <c r="D4">
        <v>69</v>
      </c>
      <c r="E4">
        <v>70</v>
      </c>
      <c r="F4">
        <v>71</v>
      </c>
      <c r="G4">
        <v>72</v>
      </c>
      <c r="H4">
        <v>73</v>
      </c>
      <c r="I4">
        <v>74</v>
      </c>
      <c r="J4">
        <v>75</v>
      </c>
      <c r="K4">
        <v>76</v>
      </c>
      <c r="L4">
        <v>77</v>
      </c>
      <c r="M4">
        <v>78</v>
      </c>
      <c r="N4">
        <v>79</v>
      </c>
      <c r="O4">
        <v>80</v>
      </c>
      <c r="AD4">
        <v>401</v>
      </c>
      <c r="AE4">
        <v>402</v>
      </c>
      <c r="AF4">
        <v>403</v>
      </c>
      <c r="AG4">
        <v>404</v>
      </c>
      <c r="AH4">
        <v>405</v>
      </c>
      <c r="AI4">
        <v>406</v>
      </c>
      <c r="AJ4">
        <v>407</v>
      </c>
      <c r="AK4">
        <v>408</v>
      </c>
      <c r="AL4">
        <v>409</v>
      </c>
      <c r="AM4">
        <v>410</v>
      </c>
      <c r="AN4">
        <v>411</v>
      </c>
      <c r="AO4">
        <v>412</v>
      </c>
      <c r="AP4">
        <v>413</v>
      </c>
      <c r="AQ4">
        <v>414</v>
      </c>
      <c r="BF4" t="s">
        <v>96</v>
      </c>
      <c r="BG4" t="s">
        <v>97</v>
      </c>
      <c r="BH4" t="s">
        <v>98</v>
      </c>
      <c r="BI4" t="s">
        <v>99</v>
      </c>
      <c r="BJ4" t="s">
        <v>100</v>
      </c>
      <c r="BK4" t="s">
        <v>101</v>
      </c>
      <c r="BL4" t="s">
        <v>102</v>
      </c>
      <c r="BM4" t="s">
        <v>103</v>
      </c>
      <c r="BN4" t="s">
        <v>104</v>
      </c>
      <c r="BO4" t="s">
        <v>105</v>
      </c>
      <c r="BP4" t="s">
        <v>106</v>
      </c>
      <c r="BQ4" t="s">
        <v>107</v>
      </c>
      <c r="BR4" t="s">
        <v>108</v>
      </c>
      <c r="BS4" t="s">
        <v>109</v>
      </c>
    </row>
    <row r="5" spans="1:84" x14ac:dyDescent="0.15">
      <c r="A5" t="s">
        <v>198</v>
      </c>
      <c r="B5">
        <v>81</v>
      </c>
      <c r="C5">
        <v>82</v>
      </c>
      <c r="D5">
        <v>83</v>
      </c>
      <c r="E5">
        <v>84</v>
      </c>
      <c r="F5">
        <v>85</v>
      </c>
      <c r="G5">
        <v>86</v>
      </c>
      <c r="H5">
        <v>87</v>
      </c>
      <c r="I5">
        <v>88</v>
      </c>
      <c r="J5">
        <v>89</v>
      </c>
      <c r="K5">
        <v>90</v>
      </c>
      <c r="L5">
        <v>91</v>
      </c>
      <c r="M5">
        <v>92</v>
      </c>
      <c r="N5">
        <v>93</v>
      </c>
      <c r="O5">
        <v>94</v>
      </c>
      <c r="P5">
        <v>95</v>
      </c>
      <c r="Q5">
        <v>96</v>
      </c>
      <c r="R5">
        <v>97</v>
      </c>
      <c r="S5">
        <v>98</v>
      </c>
      <c r="AD5">
        <v>501</v>
      </c>
      <c r="AE5">
        <v>502</v>
      </c>
      <c r="AF5">
        <v>503</v>
      </c>
      <c r="AG5">
        <v>504</v>
      </c>
      <c r="AH5">
        <v>505</v>
      </c>
      <c r="AI5">
        <v>506</v>
      </c>
      <c r="AJ5">
        <v>507</v>
      </c>
      <c r="AK5">
        <v>508</v>
      </c>
      <c r="AL5">
        <v>509</v>
      </c>
      <c r="AM5">
        <v>510</v>
      </c>
      <c r="AN5">
        <v>511</v>
      </c>
      <c r="AO5">
        <v>512</v>
      </c>
      <c r="AP5">
        <v>513</v>
      </c>
      <c r="AQ5">
        <v>514</v>
      </c>
      <c r="AR5">
        <v>515</v>
      </c>
      <c r="AS5">
        <v>516</v>
      </c>
      <c r="AT5">
        <v>517</v>
      </c>
      <c r="AU5">
        <v>518</v>
      </c>
      <c r="BF5" t="s">
        <v>110</v>
      </c>
      <c r="BG5" t="s">
        <v>111</v>
      </c>
      <c r="BH5" t="s">
        <v>112</v>
      </c>
      <c r="BI5" t="s">
        <v>113</v>
      </c>
      <c r="BJ5" t="s">
        <v>114</v>
      </c>
      <c r="BK5" t="s">
        <v>115</v>
      </c>
      <c r="BL5" t="s">
        <v>116</v>
      </c>
      <c r="BM5" t="s">
        <v>117</v>
      </c>
      <c r="BN5" t="s">
        <v>118</v>
      </c>
      <c r="BO5" t="s">
        <v>119</v>
      </c>
      <c r="BP5" t="s">
        <v>120</v>
      </c>
      <c r="BQ5" t="s">
        <v>121</v>
      </c>
      <c r="BR5" t="s">
        <v>122</v>
      </c>
      <c r="BS5" t="s">
        <v>123</v>
      </c>
      <c r="BT5" t="s">
        <v>124</v>
      </c>
      <c r="BU5" t="s">
        <v>125</v>
      </c>
      <c r="BV5" t="s">
        <v>126</v>
      </c>
      <c r="BW5" t="s">
        <v>127</v>
      </c>
    </row>
    <row r="6" spans="1:84" x14ac:dyDescent="0.15">
      <c r="A6" t="s">
        <v>199</v>
      </c>
      <c r="B6">
        <v>99</v>
      </c>
      <c r="C6">
        <v>100</v>
      </c>
      <c r="D6">
        <v>101</v>
      </c>
      <c r="E6">
        <v>102</v>
      </c>
      <c r="F6">
        <v>103</v>
      </c>
      <c r="G6">
        <v>104</v>
      </c>
      <c r="H6">
        <v>105</v>
      </c>
      <c r="I6">
        <v>106</v>
      </c>
      <c r="AD6">
        <v>601</v>
      </c>
      <c r="AE6">
        <v>602</v>
      </c>
      <c r="AF6">
        <v>603</v>
      </c>
      <c r="AG6">
        <v>604</v>
      </c>
      <c r="AH6">
        <v>605</v>
      </c>
      <c r="AI6">
        <v>606</v>
      </c>
      <c r="AJ6">
        <v>607</v>
      </c>
      <c r="AK6">
        <v>608</v>
      </c>
      <c r="BF6" t="s">
        <v>128</v>
      </c>
      <c r="BG6" t="s">
        <v>129</v>
      </c>
      <c r="BH6" t="s">
        <v>130</v>
      </c>
      <c r="BI6" t="s">
        <v>131</v>
      </c>
      <c r="BJ6" t="s">
        <v>132</v>
      </c>
      <c r="BK6" t="s">
        <v>133</v>
      </c>
      <c r="BL6" t="s">
        <v>134</v>
      </c>
      <c r="BM6" t="s">
        <v>135</v>
      </c>
    </row>
    <row r="7" spans="1:84" x14ac:dyDescent="0.15">
      <c r="A7" t="s">
        <v>200</v>
      </c>
      <c r="B7">
        <v>107</v>
      </c>
      <c r="C7">
        <v>108</v>
      </c>
      <c r="D7">
        <v>109</v>
      </c>
      <c r="E7">
        <v>110</v>
      </c>
      <c r="F7">
        <v>111</v>
      </c>
      <c r="AD7">
        <v>701</v>
      </c>
      <c r="AE7">
        <v>702</v>
      </c>
      <c r="AF7">
        <v>703</v>
      </c>
      <c r="AG7">
        <v>704</v>
      </c>
      <c r="AH7">
        <v>705</v>
      </c>
      <c r="BF7" t="s">
        <v>136</v>
      </c>
      <c r="BG7" t="s">
        <v>137</v>
      </c>
      <c r="BH7" t="s">
        <v>138</v>
      </c>
      <c r="BI7" t="s">
        <v>139</v>
      </c>
      <c r="BJ7" t="s">
        <v>140</v>
      </c>
    </row>
    <row r="8" spans="1:84" x14ac:dyDescent="0.15">
      <c r="A8" t="s">
        <v>201</v>
      </c>
      <c r="B8">
        <v>112</v>
      </c>
      <c r="C8">
        <v>113</v>
      </c>
      <c r="D8">
        <v>114</v>
      </c>
      <c r="E8">
        <v>115</v>
      </c>
      <c r="F8">
        <v>116</v>
      </c>
      <c r="G8">
        <v>117</v>
      </c>
      <c r="H8">
        <v>118</v>
      </c>
      <c r="I8">
        <v>119</v>
      </c>
      <c r="J8">
        <v>120</v>
      </c>
      <c r="K8">
        <v>121</v>
      </c>
      <c r="L8">
        <v>122</v>
      </c>
      <c r="AD8">
        <v>801</v>
      </c>
      <c r="AE8">
        <v>802</v>
      </c>
      <c r="AF8">
        <v>803</v>
      </c>
      <c r="AG8">
        <v>804</v>
      </c>
      <c r="AH8">
        <v>805</v>
      </c>
      <c r="AI8">
        <v>806</v>
      </c>
      <c r="AJ8">
        <v>807</v>
      </c>
      <c r="AK8">
        <v>808</v>
      </c>
      <c r="AL8">
        <v>809</v>
      </c>
      <c r="AM8">
        <v>810</v>
      </c>
      <c r="AN8">
        <v>811</v>
      </c>
      <c r="BF8" t="s">
        <v>141</v>
      </c>
      <c r="BG8" t="s">
        <v>142</v>
      </c>
      <c r="BH8" t="s">
        <v>143</v>
      </c>
      <c r="BI8" t="s">
        <v>144</v>
      </c>
      <c r="BJ8" t="s">
        <v>145</v>
      </c>
      <c r="BK8" t="s">
        <v>146</v>
      </c>
      <c r="BL8" t="s">
        <v>147</v>
      </c>
      <c r="BM8" t="s">
        <v>148</v>
      </c>
      <c r="BN8" t="s">
        <v>149</v>
      </c>
      <c r="BO8" t="s">
        <v>150</v>
      </c>
      <c r="BP8" t="s">
        <v>151</v>
      </c>
    </row>
    <row r="9" spans="1:84" x14ac:dyDescent="0.15">
      <c r="A9" t="s">
        <v>202</v>
      </c>
      <c r="B9">
        <v>123</v>
      </c>
      <c r="C9">
        <v>124</v>
      </c>
      <c r="D9">
        <v>125</v>
      </c>
      <c r="E9">
        <v>126</v>
      </c>
      <c r="F9">
        <v>127</v>
      </c>
      <c r="G9">
        <v>128</v>
      </c>
      <c r="H9">
        <v>129</v>
      </c>
      <c r="AD9">
        <v>901</v>
      </c>
      <c r="AE9">
        <v>902</v>
      </c>
      <c r="AF9">
        <v>903</v>
      </c>
      <c r="AG9">
        <v>904</v>
      </c>
      <c r="AH9">
        <v>905</v>
      </c>
      <c r="AI9">
        <v>906</v>
      </c>
      <c r="AJ9">
        <v>907</v>
      </c>
      <c r="BF9" t="s">
        <v>152</v>
      </c>
      <c r="BG9" t="s">
        <v>153</v>
      </c>
      <c r="BH9" t="s">
        <v>154</v>
      </c>
      <c r="BI9" t="s">
        <v>155</v>
      </c>
      <c r="BJ9" t="s">
        <v>156</v>
      </c>
      <c r="BK9" t="s">
        <v>157</v>
      </c>
      <c r="BL9" t="s">
        <v>158</v>
      </c>
    </row>
    <row r="10" spans="1:84" x14ac:dyDescent="0.15">
      <c r="A10" t="s">
        <v>167</v>
      </c>
      <c r="B10">
        <v>130</v>
      </c>
      <c r="C10">
        <v>131</v>
      </c>
      <c r="D10">
        <v>132</v>
      </c>
      <c r="E10">
        <v>133</v>
      </c>
      <c r="F10">
        <v>134</v>
      </c>
      <c r="G10">
        <v>135</v>
      </c>
      <c r="H10">
        <v>136</v>
      </c>
      <c r="I10">
        <v>137</v>
      </c>
      <c r="AD10">
        <v>1001</v>
      </c>
      <c r="AE10">
        <v>1002</v>
      </c>
      <c r="AF10">
        <v>1003</v>
      </c>
      <c r="AG10">
        <v>1004</v>
      </c>
      <c r="AH10">
        <v>1005</v>
      </c>
      <c r="AI10">
        <v>1006</v>
      </c>
      <c r="AJ10">
        <v>1007</v>
      </c>
      <c r="AK10">
        <v>1008</v>
      </c>
      <c r="BF10" t="s">
        <v>159</v>
      </c>
      <c r="BG10" t="s">
        <v>160</v>
      </c>
      <c r="BH10" t="s">
        <v>161</v>
      </c>
      <c r="BI10" t="s">
        <v>162</v>
      </c>
      <c r="BJ10" t="s">
        <v>163</v>
      </c>
      <c r="BK10" t="s">
        <v>164</v>
      </c>
      <c r="BL10" t="s">
        <v>165</v>
      </c>
      <c r="BM10" t="s">
        <v>166</v>
      </c>
    </row>
    <row r="11" spans="1:84" x14ac:dyDescent="0.15">
      <c r="A11" t="s">
        <v>190</v>
      </c>
      <c r="B11">
        <v>138</v>
      </c>
      <c r="C11">
        <v>139</v>
      </c>
      <c r="D11">
        <v>140</v>
      </c>
      <c r="E11">
        <v>141</v>
      </c>
      <c r="AD11">
        <v>1101</v>
      </c>
      <c r="AE11">
        <v>1102</v>
      </c>
      <c r="AF11">
        <v>1103</v>
      </c>
      <c r="AG11">
        <v>1105</v>
      </c>
      <c r="BF11" t="s">
        <v>168</v>
      </c>
      <c r="BG11" t="s">
        <v>169</v>
      </c>
      <c r="BH11" t="s">
        <v>170</v>
      </c>
      <c r="BI11" t="s">
        <v>171</v>
      </c>
    </row>
    <row r="12" spans="1:84" x14ac:dyDescent="0.15">
      <c r="A12" t="s">
        <v>191</v>
      </c>
      <c r="B12">
        <v>142</v>
      </c>
      <c r="C12">
        <v>143</v>
      </c>
      <c r="D12">
        <v>144</v>
      </c>
      <c r="E12">
        <v>145</v>
      </c>
      <c r="F12">
        <v>146</v>
      </c>
      <c r="G12">
        <v>147</v>
      </c>
      <c r="AD12">
        <v>1201</v>
      </c>
      <c r="AE12">
        <v>1202</v>
      </c>
      <c r="AF12">
        <v>1203</v>
      </c>
      <c r="AG12">
        <v>1205</v>
      </c>
      <c r="AH12">
        <v>1206</v>
      </c>
      <c r="AI12">
        <v>1207</v>
      </c>
      <c r="BF12" t="s">
        <v>172</v>
      </c>
      <c r="BG12" t="s">
        <v>175</v>
      </c>
      <c r="BH12" t="s">
        <v>176</v>
      </c>
      <c r="BI12" t="s">
        <v>173</v>
      </c>
      <c r="BJ12" t="s">
        <v>174</v>
      </c>
      <c r="BK12" t="s">
        <v>177</v>
      </c>
    </row>
    <row r="13" spans="1:84" x14ac:dyDescent="0.15">
      <c r="A13" t="s">
        <v>192</v>
      </c>
      <c r="B13">
        <v>148</v>
      </c>
      <c r="C13">
        <v>149</v>
      </c>
      <c r="D13">
        <v>150</v>
      </c>
      <c r="E13">
        <v>151</v>
      </c>
      <c r="AD13">
        <v>1301</v>
      </c>
      <c r="AE13">
        <v>1302</v>
      </c>
      <c r="AF13">
        <v>1303</v>
      </c>
      <c r="AG13">
        <v>1304</v>
      </c>
      <c r="BF13" t="s">
        <v>178</v>
      </c>
      <c r="BG13" t="s">
        <v>179</v>
      </c>
      <c r="BH13" t="s">
        <v>180</v>
      </c>
      <c r="BI13" t="s">
        <v>181</v>
      </c>
    </row>
    <row r="14" spans="1:84" x14ac:dyDescent="0.15">
      <c r="A14" t="s">
        <v>193</v>
      </c>
      <c r="B14">
        <v>152</v>
      </c>
      <c r="C14">
        <v>153</v>
      </c>
      <c r="D14">
        <v>154</v>
      </c>
      <c r="E14">
        <v>155</v>
      </c>
      <c r="F14">
        <v>156</v>
      </c>
      <c r="G14">
        <v>157</v>
      </c>
      <c r="H14">
        <v>158</v>
      </c>
      <c r="I14">
        <v>159</v>
      </c>
      <c r="AD14">
        <v>1401</v>
      </c>
      <c r="AE14">
        <v>1402</v>
      </c>
      <c r="AF14">
        <v>1403</v>
      </c>
      <c r="AG14">
        <v>1404</v>
      </c>
      <c r="AH14">
        <v>1405</v>
      </c>
      <c r="AI14">
        <v>1406</v>
      </c>
      <c r="AJ14">
        <v>1407</v>
      </c>
      <c r="AK14">
        <v>1408</v>
      </c>
      <c r="BF14" t="s">
        <v>182</v>
      </c>
      <c r="BG14" t="s">
        <v>183</v>
      </c>
      <c r="BH14" t="s">
        <v>184</v>
      </c>
      <c r="BI14" t="s">
        <v>185</v>
      </c>
      <c r="BJ14" t="s">
        <v>186</v>
      </c>
      <c r="BK14" t="s">
        <v>187</v>
      </c>
      <c r="BL14" t="s">
        <v>188</v>
      </c>
      <c r="BM14" t="s">
        <v>189</v>
      </c>
    </row>
  </sheetData>
  <sheetProtection sheet="1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郡市名</vt:lpstr>
      <vt:lpstr>Sheet1</vt:lpstr>
      <vt:lpstr>郡市名!Print_Area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jpa</dc:creator>
  <cp:lastModifiedBy>吉田啓祐</cp:lastModifiedBy>
  <cp:lastPrinted>2025-04-11T01:38:01Z</cp:lastPrinted>
  <dcterms:created xsi:type="dcterms:W3CDTF">2004-03-09T08:11:36Z</dcterms:created>
  <dcterms:modified xsi:type="dcterms:W3CDTF">2026-03-23T06:54:28Z</dcterms:modified>
</cp:coreProperties>
</file>